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3760" windowHeight="10050"/>
  </bookViews>
  <sheets>
    <sheet name="Aplicação do Orçamento 2016" sheetId="2" r:id="rId1"/>
  </sheets>
  <definedNames>
    <definedName name="_xlnm.Print_Area" localSheetId="0">'Aplicação do Orçamento 2016'!$A$1:$N$186</definedName>
  </definedNames>
  <calcPr calcId="124519"/>
</workbook>
</file>

<file path=xl/calcChain.xml><?xml version="1.0" encoding="utf-8"?>
<calcChain xmlns="http://schemas.openxmlformats.org/spreadsheetml/2006/main">
  <c r="J25" i="2"/>
  <c r="L25"/>
  <c r="L148"/>
  <c r="L147"/>
  <c r="J186" l="1"/>
  <c r="L186" s="1"/>
  <c r="J185"/>
  <c r="L185" s="1"/>
  <c r="J184"/>
  <c r="L184" s="1"/>
  <c r="I183"/>
  <c r="I182" s="1"/>
  <c r="H183"/>
  <c r="H182" s="1"/>
  <c r="G183"/>
  <c r="G182" s="1"/>
  <c r="C183"/>
  <c r="C182" s="1"/>
  <c r="E182"/>
  <c r="G180"/>
  <c r="J180" s="1"/>
  <c r="E180"/>
  <c r="J179"/>
  <c r="E179"/>
  <c r="J178"/>
  <c r="E178"/>
  <c r="J177"/>
  <c r="E177"/>
  <c r="J176"/>
  <c r="E176"/>
  <c r="J175"/>
  <c r="E175"/>
  <c r="I174"/>
  <c r="I173" s="1"/>
  <c r="H174"/>
  <c r="H173" s="1"/>
  <c r="E174"/>
  <c r="C174"/>
  <c r="C173" s="1"/>
  <c r="E173" s="1"/>
  <c r="J171"/>
  <c r="E171"/>
  <c r="I170"/>
  <c r="H170"/>
  <c r="G170"/>
  <c r="C170"/>
  <c r="E170" s="1"/>
  <c r="G168"/>
  <c r="J168" s="1"/>
  <c r="E168"/>
  <c r="I167"/>
  <c r="H167"/>
  <c r="G167"/>
  <c r="C167"/>
  <c r="E167" s="1"/>
  <c r="J165"/>
  <c r="E165"/>
  <c r="I164"/>
  <c r="H164"/>
  <c r="G164"/>
  <c r="C164"/>
  <c r="E164" s="1"/>
  <c r="E162"/>
  <c r="J161"/>
  <c r="L161" s="1"/>
  <c r="I160"/>
  <c r="H160"/>
  <c r="G160"/>
  <c r="C160"/>
  <c r="J158"/>
  <c r="E158"/>
  <c r="I157"/>
  <c r="H157"/>
  <c r="G157"/>
  <c r="C157"/>
  <c r="E157" s="1"/>
  <c r="J155"/>
  <c r="E155"/>
  <c r="I154"/>
  <c r="H154"/>
  <c r="G154"/>
  <c r="C154"/>
  <c r="E154" s="1"/>
  <c r="J152"/>
  <c r="E152"/>
  <c r="I151"/>
  <c r="H151"/>
  <c r="G151"/>
  <c r="C151"/>
  <c r="E151" s="1"/>
  <c r="J148"/>
  <c r="E148"/>
  <c r="J147"/>
  <c r="E147"/>
  <c r="I146"/>
  <c r="H146"/>
  <c r="G146"/>
  <c r="C146"/>
  <c r="E146" s="1"/>
  <c r="J144"/>
  <c r="E144"/>
  <c r="I143"/>
  <c r="H143"/>
  <c r="G143"/>
  <c r="C143"/>
  <c r="J141"/>
  <c r="E141"/>
  <c r="I140"/>
  <c r="I139" s="1"/>
  <c r="H140"/>
  <c r="H139" s="1"/>
  <c r="G140"/>
  <c r="G139" s="1"/>
  <c r="C140"/>
  <c r="E140" s="1"/>
  <c r="J137"/>
  <c r="E137"/>
  <c r="J136"/>
  <c r="E136"/>
  <c r="I135"/>
  <c r="H135"/>
  <c r="G135"/>
  <c r="C135"/>
  <c r="J133"/>
  <c r="E133"/>
  <c r="J132"/>
  <c r="E132"/>
  <c r="I131"/>
  <c r="H131"/>
  <c r="G131"/>
  <c r="C131"/>
  <c r="J129"/>
  <c r="E129"/>
  <c r="I128"/>
  <c r="H128"/>
  <c r="H127" s="1"/>
  <c r="G128"/>
  <c r="C128"/>
  <c r="E126"/>
  <c r="J125"/>
  <c r="E125"/>
  <c r="J124"/>
  <c r="E124"/>
  <c r="J123"/>
  <c r="E123"/>
  <c r="I122"/>
  <c r="H122"/>
  <c r="H121" s="1"/>
  <c r="G122"/>
  <c r="G121" s="1"/>
  <c r="C122"/>
  <c r="C121" s="1"/>
  <c r="E121" s="1"/>
  <c r="I121"/>
  <c r="E120"/>
  <c r="I119"/>
  <c r="J119" s="1"/>
  <c r="E119"/>
  <c r="J118"/>
  <c r="E118"/>
  <c r="I117"/>
  <c r="I114" s="1"/>
  <c r="I113" s="1"/>
  <c r="E117"/>
  <c r="J116"/>
  <c r="E116"/>
  <c r="J115"/>
  <c r="E115"/>
  <c r="H114"/>
  <c r="G114"/>
  <c r="G113" s="1"/>
  <c r="C114"/>
  <c r="C113" s="1"/>
  <c r="E113" s="1"/>
  <c r="H113"/>
  <c r="E112"/>
  <c r="J111"/>
  <c r="C111"/>
  <c r="E111" s="1"/>
  <c r="I110"/>
  <c r="J110" s="1"/>
  <c r="E110"/>
  <c r="E109"/>
  <c r="I108"/>
  <c r="J108" s="1"/>
  <c r="E108"/>
  <c r="C108"/>
  <c r="I107"/>
  <c r="I109" s="1"/>
  <c r="C107"/>
  <c r="E107" s="1"/>
  <c r="J106"/>
  <c r="E106"/>
  <c r="J105"/>
  <c r="E105"/>
  <c r="I104"/>
  <c r="J104" s="1"/>
  <c r="E104"/>
  <c r="J103"/>
  <c r="E103"/>
  <c r="H102"/>
  <c r="H101" s="1"/>
  <c r="G102"/>
  <c r="G101" s="1"/>
  <c r="D101"/>
  <c r="J99"/>
  <c r="J98" s="1"/>
  <c r="E99"/>
  <c r="I98"/>
  <c r="I97" s="1"/>
  <c r="H98"/>
  <c r="H97" s="1"/>
  <c r="G98"/>
  <c r="G97" s="1"/>
  <c r="C98"/>
  <c r="E98" s="1"/>
  <c r="J93"/>
  <c r="E93"/>
  <c r="I92"/>
  <c r="G92"/>
  <c r="E92"/>
  <c r="I91"/>
  <c r="G91"/>
  <c r="E91"/>
  <c r="J90"/>
  <c r="E90"/>
  <c r="J89"/>
  <c r="E89"/>
  <c r="I88"/>
  <c r="J88" s="1"/>
  <c r="E88"/>
  <c r="J87"/>
  <c r="E87"/>
  <c r="G86"/>
  <c r="E86"/>
  <c r="H85"/>
  <c r="D85"/>
  <c r="C85"/>
  <c r="E84"/>
  <c r="J83"/>
  <c r="E83"/>
  <c r="J82"/>
  <c r="E82"/>
  <c r="J81"/>
  <c r="E81"/>
  <c r="I80"/>
  <c r="H80"/>
  <c r="G80"/>
  <c r="C80"/>
  <c r="C79" s="1"/>
  <c r="J77"/>
  <c r="E77"/>
  <c r="J76"/>
  <c r="E76"/>
  <c r="J75"/>
  <c r="E75"/>
  <c r="J74"/>
  <c r="E74"/>
  <c r="J73"/>
  <c r="E73"/>
  <c r="J72"/>
  <c r="E72"/>
  <c r="J71"/>
  <c r="E71"/>
  <c r="I70"/>
  <c r="I69" s="1"/>
  <c r="H70"/>
  <c r="H69" s="1"/>
  <c r="G70"/>
  <c r="G69" s="1"/>
  <c r="C70"/>
  <c r="C69" s="1"/>
  <c r="D69"/>
  <c r="J67"/>
  <c r="E67"/>
  <c r="J66"/>
  <c r="E66"/>
  <c r="J65"/>
  <c r="E65"/>
  <c r="J64"/>
  <c r="E64"/>
  <c r="J63"/>
  <c r="E63"/>
  <c r="J62"/>
  <c r="E62"/>
  <c r="J61"/>
  <c r="E61"/>
  <c r="J60"/>
  <c r="E60"/>
  <c r="I59"/>
  <c r="I58" s="1"/>
  <c r="H59"/>
  <c r="H58" s="1"/>
  <c r="G59"/>
  <c r="G58" s="1"/>
  <c r="C59"/>
  <c r="C58" s="1"/>
  <c r="J55"/>
  <c r="L55" s="1"/>
  <c r="J54"/>
  <c r="E54"/>
  <c r="J53"/>
  <c r="E53"/>
  <c r="E52"/>
  <c r="I51"/>
  <c r="G51"/>
  <c r="C51"/>
  <c r="E51" s="1"/>
  <c r="I50"/>
  <c r="I52" s="1"/>
  <c r="E50"/>
  <c r="I49"/>
  <c r="G49"/>
  <c r="E49"/>
  <c r="J48"/>
  <c r="E48"/>
  <c r="G47"/>
  <c r="E47"/>
  <c r="H46"/>
  <c r="H45" s="1"/>
  <c r="D45"/>
  <c r="J38"/>
  <c r="J39"/>
  <c r="J40"/>
  <c r="J41"/>
  <c r="J42"/>
  <c r="J37"/>
  <c r="J31"/>
  <c r="L31" s="1"/>
  <c r="J32"/>
  <c r="L32" s="1"/>
  <c r="J33"/>
  <c r="J30"/>
  <c r="L30" s="1"/>
  <c r="J19"/>
  <c r="J20"/>
  <c r="J21"/>
  <c r="J22"/>
  <c r="J24"/>
  <c r="J18"/>
  <c r="J8"/>
  <c r="J9"/>
  <c r="J10"/>
  <c r="J11"/>
  <c r="J12"/>
  <c r="J14"/>
  <c r="J7"/>
  <c r="H13"/>
  <c r="L48" l="1"/>
  <c r="C127"/>
  <c r="J182"/>
  <c r="L182" s="1"/>
  <c r="C97"/>
  <c r="E97" s="1"/>
  <c r="J49"/>
  <c r="E80"/>
  <c r="L80" s="1"/>
  <c r="L133"/>
  <c r="J135"/>
  <c r="E128"/>
  <c r="G163"/>
  <c r="J163" s="1"/>
  <c r="L165"/>
  <c r="L105"/>
  <c r="L87"/>
  <c r="L90"/>
  <c r="L88"/>
  <c r="J92"/>
  <c r="L92" s="1"/>
  <c r="L99"/>
  <c r="H163"/>
  <c r="E85"/>
  <c r="G85"/>
  <c r="G79" s="1"/>
  <c r="L89"/>
  <c r="J164"/>
  <c r="L171"/>
  <c r="J50"/>
  <c r="L50" s="1"/>
  <c r="L93"/>
  <c r="L106"/>
  <c r="C139"/>
  <c r="E139" s="1"/>
  <c r="G174"/>
  <c r="G173" s="1"/>
  <c r="J173" s="1"/>
  <c r="L173" s="1"/>
  <c r="I85"/>
  <c r="I79" s="1"/>
  <c r="L83"/>
  <c r="L178"/>
  <c r="J109"/>
  <c r="L109" s="1"/>
  <c r="I102"/>
  <c r="I101" s="1"/>
  <c r="L164"/>
  <c r="J107"/>
  <c r="L107" s="1"/>
  <c r="J140"/>
  <c r="L140" s="1"/>
  <c r="E143"/>
  <c r="I163"/>
  <c r="L177"/>
  <c r="L108"/>
  <c r="L115"/>
  <c r="L119"/>
  <c r="L129"/>
  <c r="G46"/>
  <c r="G45" s="1"/>
  <c r="J59"/>
  <c r="H79"/>
  <c r="L82"/>
  <c r="L123"/>
  <c r="I127"/>
  <c r="J131"/>
  <c r="L136"/>
  <c r="J143"/>
  <c r="J146"/>
  <c r="L146" s="1"/>
  <c r="G150"/>
  <c r="L155"/>
  <c r="L98"/>
  <c r="J91"/>
  <c r="L91" s="1"/>
  <c r="L104"/>
  <c r="E122"/>
  <c r="L132"/>
  <c r="L144"/>
  <c r="H150"/>
  <c r="J157"/>
  <c r="L157" s="1"/>
  <c r="C163"/>
  <c r="E163" s="1"/>
  <c r="L175"/>
  <c r="L71"/>
  <c r="L81"/>
  <c r="J97"/>
  <c r="L110"/>
  <c r="L111"/>
  <c r="L116"/>
  <c r="L118"/>
  <c r="J122"/>
  <c r="L137"/>
  <c r="J151"/>
  <c r="L151" s="1"/>
  <c r="I150"/>
  <c r="L158"/>
  <c r="J167"/>
  <c r="L60"/>
  <c r="J80"/>
  <c r="J86"/>
  <c r="L86" s="1"/>
  <c r="C102"/>
  <c r="C101" s="1"/>
  <c r="L103"/>
  <c r="J113"/>
  <c r="L113" s="1"/>
  <c r="J121"/>
  <c r="L121" s="1"/>
  <c r="L125"/>
  <c r="J128"/>
  <c r="L128" s="1"/>
  <c r="L141"/>
  <c r="C150"/>
  <c r="E150" s="1"/>
  <c r="L152"/>
  <c r="J154"/>
  <c r="L154" s="1"/>
  <c r="J160"/>
  <c r="L160" s="1"/>
  <c r="L168"/>
  <c r="J170"/>
  <c r="L176"/>
  <c r="L179"/>
  <c r="J183"/>
  <c r="L183" s="1"/>
  <c r="L170"/>
  <c r="L180"/>
  <c r="L167"/>
  <c r="J101"/>
  <c r="L124"/>
  <c r="E135"/>
  <c r="E102"/>
  <c r="J117"/>
  <c r="J114" s="1"/>
  <c r="G127"/>
  <c r="E131"/>
  <c r="E114"/>
  <c r="E59"/>
  <c r="E58" s="1"/>
  <c r="L61"/>
  <c r="L65"/>
  <c r="L75"/>
  <c r="L77"/>
  <c r="L64"/>
  <c r="C46"/>
  <c r="C45" s="1"/>
  <c r="L72"/>
  <c r="L74"/>
  <c r="L54"/>
  <c r="L62"/>
  <c r="L67"/>
  <c r="J70"/>
  <c r="J51"/>
  <c r="L51" s="1"/>
  <c r="J69"/>
  <c r="L73"/>
  <c r="L76"/>
  <c r="E46"/>
  <c r="E45" s="1"/>
  <c r="J47"/>
  <c r="L47" s="1"/>
  <c r="L49"/>
  <c r="L53"/>
  <c r="L63"/>
  <c r="L66"/>
  <c r="J58"/>
  <c r="J52"/>
  <c r="L52" s="1"/>
  <c r="I46"/>
  <c r="I45" s="1"/>
  <c r="E70"/>
  <c r="L135" l="1"/>
  <c r="L97"/>
  <c r="E79"/>
  <c r="J150"/>
  <c r="L150" s="1"/>
  <c r="J127"/>
  <c r="J139"/>
  <c r="L139" s="1"/>
  <c r="J85"/>
  <c r="L85" s="1"/>
  <c r="J102"/>
  <c r="L102" s="1"/>
  <c r="J174"/>
  <c r="L174" s="1"/>
  <c r="L58"/>
  <c r="L122"/>
  <c r="L59"/>
  <c r="L163"/>
  <c r="L143"/>
  <c r="J45"/>
  <c r="L45" s="1"/>
  <c r="L114"/>
  <c r="L117"/>
  <c r="E127"/>
  <c r="L131"/>
  <c r="E101"/>
  <c r="L101" s="1"/>
  <c r="L46"/>
  <c r="J46"/>
  <c r="E69"/>
  <c r="L69" s="1"/>
  <c r="L70"/>
  <c r="L127" l="1"/>
  <c r="J79"/>
  <c r="L79" s="1"/>
  <c r="E33"/>
  <c r="I23"/>
  <c r="J23" s="1"/>
  <c r="J17" s="1"/>
  <c r="J36"/>
  <c r="J29"/>
  <c r="I13"/>
  <c r="I6" s="1"/>
  <c r="I5" s="1"/>
  <c r="I36"/>
  <c r="I35" s="1"/>
  <c r="I29"/>
  <c r="I28" s="1"/>
  <c r="H36"/>
  <c r="H35" s="1"/>
  <c r="H29"/>
  <c r="H28" s="1"/>
  <c r="H17"/>
  <c r="H16" s="1"/>
  <c r="H6"/>
  <c r="H5" s="1"/>
  <c r="G13"/>
  <c r="G36"/>
  <c r="G35" s="1"/>
  <c r="G29"/>
  <c r="G28" s="1"/>
  <c r="G17"/>
  <c r="G16" s="1"/>
  <c r="E42"/>
  <c r="L42" s="1"/>
  <c r="E41"/>
  <c r="L41" s="1"/>
  <c r="E40"/>
  <c r="L40" s="1"/>
  <c r="E39"/>
  <c r="L39" s="1"/>
  <c r="E38"/>
  <c r="L38" s="1"/>
  <c r="E37"/>
  <c r="L37" s="1"/>
  <c r="C36"/>
  <c r="C35" s="1"/>
  <c r="E35" s="1"/>
  <c r="C29"/>
  <c r="C28" s="1"/>
  <c r="E25"/>
  <c r="E24"/>
  <c r="L24" s="1"/>
  <c r="E23"/>
  <c r="E22"/>
  <c r="L22" s="1"/>
  <c r="E21"/>
  <c r="L21" s="1"/>
  <c r="E20"/>
  <c r="L20" s="1"/>
  <c r="E19"/>
  <c r="L19" s="1"/>
  <c r="E18"/>
  <c r="L18" s="1"/>
  <c r="C17"/>
  <c r="C16" s="1"/>
  <c r="D16"/>
  <c r="E14"/>
  <c r="L14" s="1"/>
  <c r="E13"/>
  <c r="E12"/>
  <c r="L12" s="1"/>
  <c r="E11"/>
  <c r="L11" s="1"/>
  <c r="E10"/>
  <c r="L10" s="1"/>
  <c r="E9"/>
  <c r="L9" s="1"/>
  <c r="C8"/>
  <c r="E8" s="1"/>
  <c r="L8" s="1"/>
  <c r="E7"/>
  <c r="L7" s="1"/>
  <c r="D5"/>
  <c r="L36" l="1"/>
  <c r="L23"/>
  <c r="L17" s="1"/>
  <c r="I17"/>
  <c r="I16" s="1"/>
  <c r="G6"/>
  <c r="G5" s="1"/>
  <c r="J13"/>
  <c r="J6" s="1"/>
  <c r="E29"/>
  <c r="E28" s="1"/>
  <c r="L33"/>
  <c r="L29" s="1"/>
  <c r="J28"/>
  <c r="J35"/>
  <c r="L35" s="1"/>
  <c r="J5"/>
  <c r="E36"/>
  <c r="E16"/>
  <c r="E6"/>
  <c r="E5" s="1"/>
  <c r="C6"/>
  <c r="C5" s="1"/>
  <c r="E17"/>
  <c r="L28" l="1"/>
  <c r="L13"/>
  <c r="L6" s="1"/>
  <c r="J16"/>
  <c r="L16" s="1"/>
  <c r="L5"/>
</calcChain>
</file>

<file path=xl/sharedStrings.xml><?xml version="1.0" encoding="utf-8"?>
<sst xmlns="http://schemas.openxmlformats.org/spreadsheetml/2006/main" count="193" uniqueCount="107">
  <si>
    <t>Restituição de Saldos de Convênios</t>
  </si>
  <si>
    <t>PROPOSTA ORÇAMENTÁRIA 2016</t>
  </si>
  <si>
    <t>AÇÃO</t>
  </si>
  <si>
    <t>MANUTENÇÃO E AÇÕES DO PPA</t>
  </si>
  <si>
    <t>Valores remanejados em reunião da Comissão em 15/04/2016, com participação das 4 Pró-Reitorias</t>
  </si>
  <si>
    <t>Fonte 114 (Tesouro)</t>
  </si>
  <si>
    <t>3.3.90.47 - Obrigações Tributárias e Contributivas</t>
  </si>
  <si>
    <t>3.3.90.39 - Outros Serviços de Terceiros - Pessoa Jurídica</t>
  </si>
  <si>
    <t>3.3.90.14 - Diárias</t>
  </si>
  <si>
    <t>3.3.90.30 - Material de Consumo</t>
  </si>
  <si>
    <t>3.3.90.33 - Passagens e Despesas com Locomoção</t>
  </si>
  <si>
    <t>3.3.90.36 - Outros Serviços de Terceiros - Pessoa Física</t>
  </si>
  <si>
    <t>4.4.90.52 - Equipamentos e Material Permanente</t>
  </si>
  <si>
    <t>3.3.90.18 - Auxílio Financeiro a Estudantes</t>
  </si>
  <si>
    <t>EXTENSÃO</t>
  </si>
  <si>
    <t>Gestão das Atividades de Extensão</t>
  </si>
  <si>
    <t>ASSISTÊNCIA ESTUDANTIL</t>
  </si>
  <si>
    <t>Gestão de Ações de Assistência ao Estudantes Universitário</t>
  </si>
  <si>
    <t>EDITORA UNIVERSITÁRIA</t>
  </si>
  <si>
    <t>Gestão de Projetos e Ações da Editora Universitária</t>
  </si>
  <si>
    <t>PROMOÇÃO DA DIFUSÃO EDUCATIVA PELA UNIVERSIDADE</t>
  </si>
  <si>
    <t>Promoçao da difusão educativa pela Universidade</t>
  </si>
  <si>
    <t>Proposta APROVADA pelo CONSU em 17/05/2016</t>
  </si>
  <si>
    <t>DEA PREVISTO</t>
  </si>
  <si>
    <t>UTILIZADO E NÃO EMPENHADO</t>
  </si>
  <si>
    <t>DESPESA</t>
  </si>
  <si>
    <t>SALDO</t>
  </si>
  <si>
    <t>PÓS-GRADUÇÃO</t>
  </si>
  <si>
    <t>Gestão das atividades do Ensino de Pós-Graduação</t>
  </si>
  <si>
    <t>PESQUISA</t>
  </si>
  <si>
    <t>Gestão das Atividades de Pesquisa</t>
  </si>
  <si>
    <t>INOVAÇÕES</t>
  </si>
  <si>
    <t>Desenvolvimento de Ações Científicas, Tecnológicas e de Inovação</t>
  </si>
  <si>
    <t>GRADUAÇÃO</t>
  </si>
  <si>
    <t>Gestão do Acervo do Sistema de Bibliotecas</t>
  </si>
  <si>
    <t>Gestão das Atividades do Ensino de Graduação</t>
  </si>
  <si>
    <t>CONCESSIONÁRIAS</t>
  </si>
  <si>
    <t>Encargos com Concessionárias de Serviços Públicos</t>
  </si>
  <si>
    <t>MANUTENÇÃO</t>
  </si>
  <si>
    <t>Manutenção dos ServiçosTécnicos e Administrativos</t>
  </si>
  <si>
    <t>3.3.90.35 - Serviços de Consultoria</t>
  </si>
  <si>
    <t>3.3.90.37 - Locação de mão de obra (antiga 2023)</t>
  </si>
  <si>
    <t>INFORMÁTICA</t>
  </si>
  <si>
    <t>Manutenção dos Serviços de Informárica</t>
  </si>
  <si>
    <t>EQUIPAMENTOS DE UNIDADES UNIVERSITÁRIAS</t>
  </si>
  <si>
    <t>Equipamento de Unidades Universitárias</t>
  </si>
  <si>
    <t>CONSTRUÇÃO/RECUPERAÇÃO/AMPLIAÇÃO</t>
  </si>
  <si>
    <t>Construção de Unidades Universitárias</t>
  </si>
  <si>
    <t>4.4.90.51 - Obras e Instalações</t>
  </si>
  <si>
    <t>Recuperação de Unidades Universitárias</t>
  </si>
  <si>
    <t>Ampliação de Unidades Universitárias</t>
  </si>
  <si>
    <t>FOLHA</t>
  </si>
  <si>
    <t>Assistência Médica aos Servidores Públicos e Seus Dependentes (Planserv)</t>
  </si>
  <si>
    <t>3.3.91.41 - Contribuições</t>
  </si>
  <si>
    <t>Encargos com Benefícios Especiais</t>
  </si>
  <si>
    <t>3.3.90.08 - Outros Benefícios Assistenciais</t>
  </si>
  <si>
    <t>Auxílio Transportes e Alimentação aos servidores e Empregados Públicos</t>
  </si>
  <si>
    <t>3.3.90.46 - Auxílio Alimentação</t>
  </si>
  <si>
    <t>3.3.90.49 - Auxílio Transporte</t>
  </si>
  <si>
    <t>OPERAÇÕES ESPECIAIS</t>
  </si>
  <si>
    <t>Operação Especial – Cumprimento de Sentença Judiciária</t>
  </si>
  <si>
    <t>3.3.90.91 - Sentenças Judiciais</t>
  </si>
  <si>
    <t>Operação Especial - Encargos com Obrigações Tributárias e Contributivas</t>
  </si>
  <si>
    <t>Operação Especial – encargo com parcelamento de Débitos de FGTS e INSS</t>
  </si>
  <si>
    <t>3.1.90.13 - Obrigações Patronais</t>
  </si>
  <si>
    <t>PUBLICIDADE / COMUNICAÇÃO / MODERNIZAÇÃO</t>
  </si>
  <si>
    <t>Comunicação Legal</t>
  </si>
  <si>
    <t>Publicidade Institucional – Ações da Uesb</t>
  </si>
  <si>
    <t>Modernização dos Processos de Gestão Administrativa da Universidade</t>
  </si>
  <si>
    <t>PROGRAD / AGP</t>
  </si>
  <si>
    <t>Gestão de Processos Seletivos</t>
  </si>
  <si>
    <t>CAPACITAÇÃO DOCENTE/TÉCNICOS</t>
  </si>
  <si>
    <t>Capacitação de Profissionais do Nível Superior</t>
  </si>
  <si>
    <t>3.3.90.93 - Idenizações e Restituições</t>
  </si>
  <si>
    <t>* PAOE 3065 foi absorvido pelo 6909</t>
  </si>
  <si>
    <t>* PAOE 6915 - Realização de Cursos de Educação a Distância foi absorvido pelo 6908</t>
  </si>
  <si>
    <t>* PAOE 6925 foi absorvido pelo 2050</t>
  </si>
  <si>
    <t>A Pró-Reitoria de Extensão e Assuntos Comunitários é responsável pelo desenvolvimento das atividades extensionistas, comunitárias, culturais, esportivas, de assistência e assuntos estudantis da UESB. São realizadas anualmente uma média de 300 ações de extensão que se distribuem nas seguintes modalidades: programas, projetos, cursos e eventos. Essas ações contam com a participação dos seguintes envolvidos:  bolsistas (média de 100 discentes); docentes coordenadores/colaboradores (média de 400 docentes); discentes envolvidos como voluntários, coordenadores, colaboradores (média de 600 discentes); servidores técnicos administrativos (média de 66 servidores). A média do público total atingido com as ações é de 200.000 pessoas. Essas atividades contribuem para as seguintes finalidades: interação dialógica entre a  universidade e sociedade; desenvolvimento de ações integradas de ensino-pesquisa-extensão; contribuição para o processo de formação acadêmica e cidadã dos discentes; estímulo a interdisciplinariedade; ações inovadoras que possibilitam a criação e difusão de novas metodologias/tecnologias; ações que se constituem campo para a produção de pesquisas, inserção de discentes/orientadores dos programas de pós-graduação. Ressaltamos que a maioria dessas ações são voltadas para segmentos sociais e comunidades em situação de vulnerabilidade social e muitas dessas atividades já estão consolidadas e são realizadas continuamente há 10 / 20 anos. Com o saldo do recurso propõe-se que o mesmo seja utilizado em edital para financiamento das ações contínuas (programas e projetos). Edital que contemple as seguintes rubricas: bolsas de extensão para discentes; serviço gráfico e xerográfico da UESB; transporte interno da UESB.</t>
  </si>
  <si>
    <t>A UESB conta atualmente com 47 cursos de graduação distribuídos no três campi. Uma matrícula de aproximandamente 9000 alunos regulares. Desses Cursos, 7 estão em processo de implementação, o que nos solicita atenção especial para composição de acervo básico para atos formativos e reconhecimento de curso. A atualização dos sistemas de acervo, a compra de aquipamentos para acessibilidade de alunos com deficência - Teconologias Assistivas. Treinamente e atualização de Sistemas. Modificação de estrutura para conservação do acervo e aplicação do sistema virtual como meio de impactar na qualidade dos acessos para toda a comunidade.</t>
  </si>
  <si>
    <t xml:space="preserve"> A PROGRAD mantém sob sua responsabilidade orçamentária as atividades de Aula-campo e visita técnica; Monitoria; Seguro-Aluno de Estágio Obrigatório; Pagamento dos Sistemas Acadêmicos (matrícula e bibliotecas); Material de Laboratório; Bancas de Promoção; Material para suporte dos colegiados de curso; contrapartida de programas como PET (Educação Tutorial) e PIBID; Material e equipamento para os Núcleos de Práticas; Equipamento, material e pessoal para os NAIPDs; Bibliotecas (acervo físico e virtual, equipamentos); Custeio de participação de coordenadores de colegiados em atividades de seus cursos fora da universidade; Custeio de qualificação de equipe técnica, compra de equipamento para sala de aula; custeio de atividades externas dos membros da PROGRAD e muitas vezes, ajuda de custo para atividades que passam a ser vista como oportunidades de novas experiências para os alunos de graduação e seus professores. Obs.:  Todas as economias geradas na Manutenção (PROAD), serão remanejadas para Graduação, conforme indicativo da Comissão de Orçamento, aprovado pelo CONSU do dia 17/05/2016.</t>
  </si>
  <si>
    <t>EMPENHADO                 EM 2016</t>
  </si>
  <si>
    <t>TOTAL DESPESA</t>
  </si>
  <si>
    <t xml:space="preserve">
Os recursos alocados na pós-graduação, ação 6909, destinam-se à qualificação de docentes e servidores e à gestão dos 18 cursos de mestrado e 5 doutorados em funcionamento na instituição.
A distribuição dos recursos por elementos de despesa tem por fim custear as seguintes atividades: 
Pagamento dos convênios com a Universidade Nova de Lisboa e com a Universidade Estadual do Rio de Janeiro que têm por objetos a qualificação de 35 docentes dos campi de Vitória da Conquista e Jequié;
Pagamento do contrato com a FUCAPE para qualificação de 7 servidores do quadro administrativo;
Pagamento de diárias para docentes ministrarem aulas nos programas de outros campi e participação de coordenadores de todos os programas nas reuniões de área convocadas pela CAPES;
Pagamento de pró-labore a docentes de outras instituições que compõem o quadro de professores permanentes dos programas de pós-graduação da UESB;
Pagamento de bolsas de mestrado e doutorado aos programas novos, num total de 3 bolsas anuais nos primeiros 3 anos de funcionamento, conforme Resolução CONSU 10/2008;
Atendimento de aproximadamente 400 bancas de defesa e qualificação com os serviços de hospedagem, alimentação e transporte institucional;
Custeio de passagens  aéreas e terrestres para atendimento de bancas de defesa e qualificação e atendimento dos convênios e contratos vigentes (UNL, UERJ e FUCAPE).</t>
  </si>
  <si>
    <r>
      <t>Destinação dos Recursos Referentes à Pesquisa: 1) Projetos de Pesquisa:</t>
    </r>
    <r>
      <rPr>
        <sz val="9"/>
        <rFont val="Arial"/>
        <family val="2"/>
      </rPr>
      <t xml:space="preserve"> Para atender aos </t>
    </r>
    <r>
      <rPr>
        <b/>
        <sz val="9"/>
        <rFont val="Arial"/>
        <family val="2"/>
      </rPr>
      <t>Projetos de Pesquisa</t>
    </r>
    <r>
      <rPr>
        <sz val="9"/>
        <rFont val="Arial"/>
        <family val="2"/>
      </rPr>
      <t xml:space="preserve"> financiados através dos Editais de Apoio a Projetos de Pesquisa coordenados por Docentes pertencentes ao quadro efetivo da UESB, são encaminhados os processos de diárias, passagens, aquisição de materiais de consumo e permanente, prestação de serviços e requisições de veículo da Instituição (RVs). </t>
    </r>
    <r>
      <rPr>
        <b/>
        <sz val="9"/>
        <rFont val="Arial"/>
        <family val="2"/>
      </rPr>
      <t>2)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Bolsas de Iniciação Científica</t>
    </r>
    <r>
      <rPr>
        <sz val="9"/>
        <rFont val="Arial"/>
        <family val="2"/>
      </rPr>
      <t>: É lançado anualmente Edital específico, no qual são concedidas</t>
    </r>
    <r>
      <rPr>
        <b/>
        <sz val="9"/>
        <rFont val="Arial"/>
        <family val="2"/>
      </rPr>
      <t xml:space="preserve"> bolsas</t>
    </r>
    <r>
      <rPr>
        <sz val="9"/>
        <rFont val="Arial"/>
        <family val="2"/>
      </rPr>
      <t xml:space="preserve"> de Iniciação Científica a estudantes da graduação, com vigência de 12 meses, para atuarem em projetos de pesquisa coordenados por Docentes do quadro efetivo da Instituição. O oferecimento de bolsas pela Instituição é um dos requisitos levados em consideração pelos órgãos fomentadores dessa modalidade de bolsa (CNPq e FAPESB), no momento de estabelecer a cota a ser concedida para as Instituições. </t>
    </r>
    <r>
      <rPr>
        <b/>
        <sz val="9"/>
        <rFont val="Arial"/>
        <family val="2"/>
      </rPr>
      <t>3)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Outras realizações voltadas para a Iniciação Científica:</t>
    </r>
    <r>
      <rPr>
        <sz val="9"/>
        <rFont val="Arial"/>
        <family val="2"/>
      </rPr>
      <t xml:space="preserve"> Ainda para atender às exigências dos órgãos de fomento que concedem bolsas de Iniciação Científica, a Instituição realiza as seguintes ações: “</t>
    </r>
    <r>
      <rPr>
        <b/>
        <sz val="9"/>
        <rFont val="Arial"/>
        <family val="2"/>
      </rPr>
      <t>Seminário de Iniciação Científica e Tecnológica</t>
    </r>
    <r>
      <rPr>
        <sz val="9"/>
        <rFont val="Arial"/>
        <family val="2"/>
      </rPr>
      <t xml:space="preserve">”, momento no qual os estudantes apresentam o trabalho desenvolvido no período da Iniciação Científica, sob a avaliação de membros representantes do CNPq, FAPESB e também do Comitê Interno de Iniciação Científica. A UESB também promove, através da concessão de transporte, a ida de estudantes à Jornada Nacional de Iniciação Científica, que ocorre durante a reunião anual da </t>
    </r>
    <r>
      <rPr>
        <b/>
        <sz val="9"/>
        <rFont val="Arial"/>
        <family val="2"/>
      </rPr>
      <t>SBPC</t>
    </r>
    <r>
      <rPr>
        <sz val="9"/>
        <rFont val="Arial"/>
        <family val="2"/>
      </rPr>
      <t xml:space="preserve"> (Sociedade Brasileira para o Progresso da Ciência).</t>
    </r>
    <r>
      <rPr>
        <b/>
        <sz val="9"/>
        <rFont val="Arial"/>
        <family val="2"/>
      </rPr>
      <t xml:space="preserve"> 4) Atividades Administrativas:</t>
    </r>
    <r>
      <rPr>
        <sz val="9"/>
        <rFont val="Arial"/>
        <family val="2"/>
      </rPr>
      <t xml:space="preserve"> Realização das reuniões do Comitê de Iniciação Científica e do Comitê de Pesquisa da Instituição.</t>
    </r>
  </si>
  <si>
    <r>
      <t xml:space="preserve">O Sistema de Rádio e Televisão da UESB tem por objetivo executar,  sem fins lucrativos, a radiodifusão de sons e imagens, com propósitos educativos, sócio-culturais e de entretenimento, visando  contribuir para a educação e a cultura regional em todos os níveis.  Para melhor  funcionamento do SURTE são necessários os seguintes investimentos: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rgb="FF000000"/>
        <rFont val="Arial"/>
        <family val="2"/>
      </rPr>
      <t xml:space="preserve">Investimento Rádio em Jequié: </t>
    </r>
    <r>
      <rPr>
        <sz val="9"/>
        <color rgb="FF000000"/>
        <rFont val="Arial"/>
        <family val="2"/>
      </rPr>
      <t xml:space="preserve">
A rádio já está habilitada e encontra-se em tramitação o  processo de aprovação e publicação pela Comissão de Ciência e Tecnologia da Câmara do Senado Federal, aguardando publicação no Diário Oficial. É necessário aquisição de equipamentos e infraestrutura para atender as necessidades de implantação da rádio.
</t>
    </r>
    <r>
      <rPr>
        <b/>
        <sz val="9"/>
        <color rgb="FF000000"/>
        <rFont val="Arial"/>
        <family val="2"/>
      </rPr>
      <t>Investimento Rádio em Itapetinga:</t>
    </r>
    <r>
      <rPr>
        <sz val="9"/>
        <color rgb="FF000000"/>
        <rFont val="Arial"/>
        <family val="2"/>
      </rPr>
      <t xml:space="preserve">
A rádio está habilitada aguardando autorização do Ministério das Comunicações para publicação no Diário Oficial e elaboração do projeto técnico da instalação. 
</t>
    </r>
    <r>
      <rPr>
        <b/>
        <sz val="9"/>
        <color rgb="FF000000"/>
        <rFont val="Arial"/>
        <family val="2"/>
      </rPr>
      <t>Mudança do sinal analógico para digital:</t>
    </r>
    <r>
      <rPr>
        <sz val="9"/>
        <color rgb="FF000000"/>
        <rFont val="Arial"/>
        <family val="2"/>
      </rPr>
      <t xml:space="preserve">
Em cumprimento aos decretos 5371/2005 e 5820/2006 e portaria do Ministério das Comunicações é necessária a mudança da TV analógica para a digital. O prazo para essa mudança será até o ano de 2017, ano em que o sinal analógico será desligado. Para atender esse requisito se faz necessário investimento em equipamentos para a mudança do sinal, incluindo equipamentos de transmissão, de estúdio, iluminação e infraestrutura, projetos técnicos e treinamento de pessoal.
Com o saldo do recurso propõe-se que seja utilizado para pagamento de despesas iniciais referentes a mudança do sinal analógico para o digital. Despesas com os seguintes itens: material de consumo e permanente; serviço de terceiro pessoa jurídica; despesas com capacitação da equipe do SURTE.
                                                                                                                          </t>
    </r>
  </si>
  <si>
    <t>* Todas as economias geradas na Manutenção, deverão ser remanejadas para a Graduação.</t>
  </si>
  <si>
    <t>Módulo Administrativo e de Pesquisa (VCA); Espaço de Convivênica (ITA).</t>
  </si>
  <si>
    <r>
      <rPr>
        <b/>
        <sz val="9"/>
        <color rgb="FF000000"/>
        <rFont val="Arial"/>
        <family val="2"/>
      </rPr>
      <t>Material de consumo</t>
    </r>
    <r>
      <rPr>
        <sz val="9"/>
        <color rgb="FF000000"/>
        <rFont val="Arial"/>
        <family val="2"/>
      </rPr>
      <t xml:space="preserve">  - Itens periféricos ou dispositivos de reposição (moniotres, mouse, teclado, memória, roteador, etc);  </t>
    </r>
    <r>
      <rPr>
        <b/>
        <sz val="9"/>
        <color rgb="FF000000"/>
        <rFont val="Arial"/>
        <family val="2"/>
      </rPr>
      <t>Serv. terceiros P.F</t>
    </r>
    <r>
      <rPr>
        <sz val="9"/>
        <color rgb="FF000000"/>
        <rFont val="Arial"/>
        <family val="2"/>
      </rPr>
      <t xml:space="preserve">. - Contratação de profissionais emergenciais para atendimento na área de TI (programador, Tecnico de rede, tec. em manutenção, etc); </t>
    </r>
    <r>
      <rPr>
        <b/>
        <sz val="9"/>
        <color rgb="FF000000"/>
        <rFont val="Arial"/>
        <family val="2"/>
      </rPr>
      <t>Serv. terceiros P.J</t>
    </r>
    <r>
      <rPr>
        <sz val="9"/>
        <color rgb="FF000000"/>
        <rFont val="Arial"/>
        <family val="2"/>
      </rPr>
      <t xml:space="preserve">. - Todos os contratos para manutenção de equipamentos e sistemas (recarga de tonners e cartuchos, lançamento de fibra ótica, etc); </t>
    </r>
    <r>
      <rPr>
        <b/>
        <sz val="9"/>
        <color rgb="FF000000"/>
        <rFont val="Arial"/>
        <family val="2"/>
      </rPr>
      <t>Obrigações tributárias e contributivas</t>
    </r>
    <r>
      <rPr>
        <sz val="9"/>
        <color rgb="FF000000"/>
        <rFont val="Arial"/>
        <family val="2"/>
      </rPr>
      <t xml:space="preserve"> - Impostos diversos; </t>
    </r>
    <r>
      <rPr>
        <b/>
        <sz val="9"/>
        <color rgb="FF000000"/>
        <rFont val="Arial"/>
        <family val="2"/>
      </rPr>
      <t>Equipamento e Material permanente</t>
    </r>
    <r>
      <rPr>
        <sz val="9"/>
        <color rgb="FF000000"/>
        <rFont val="Arial"/>
        <family val="2"/>
      </rPr>
      <t xml:space="preserve"> - impressoras, computadores, racks, swits, nobreaks, etc.</t>
    </r>
  </si>
  <si>
    <r>
      <rPr>
        <b/>
        <sz val="9"/>
        <color theme="1"/>
        <rFont val="Arial"/>
        <family val="2"/>
      </rPr>
      <t>Material de consumo</t>
    </r>
    <r>
      <rPr>
        <sz val="9"/>
        <color theme="1"/>
        <rFont val="Arial"/>
        <family val="2"/>
      </rPr>
      <t xml:space="preserve">  - Despesas realizadas com materiais para manutenção dos diversos espaços dos campi (elétrico, hidraulico, pintura , etc);  </t>
    </r>
    <r>
      <rPr>
        <b/>
        <sz val="9"/>
        <color theme="1"/>
        <rFont val="Arial"/>
        <family val="2"/>
      </rPr>
      <t xml:space="preserve">Serv. terceiros P.J. </t>
    </r>
    <r>
      <rPr>
        <sz val="9"/>
        <color theme="1"/>
        <rFont val="Arial"/>
        <family val="2"/>
      </rPr>
      <t xml:space="preserve">- Materiais confeccionados em MDF, bancadas de granito, etc);  </t>
    </r>
    <r>
      <rPr>
        <b/>
        <sz val="9"/>
        <color theme="1"/>
        <rFont val="Arial"/>
        <family val="2"/>
      </rPr>
      <t>Equipamento e Material permanente</t>
    </r>
    <r>
      <rPr>
        <sz val="9"/>
        <color theme="1"/>
        <rFont val="Arial"/>
        <family val="2"/>
      </rPr>
      <t xml:space="preserve"> - Equipamentos para estruturação, climatização, maquinários de campo, acessibilidade e serviços gerais.</t>
    </r>
  </si>
  <si>
    <r>
      <rPr>
        <b/>
        <sz val="9"/>
        <color rgb="FF000000"/>
        <rFont val="Arial"/>
        <family val="2"/>
      </rPr>
      <t xml:space="preserve">Diárias - </t>
    </r>
    <r>
      <rPr>
        <sz val="9"/>
        <color rgb="FF000000"/>
        <rFont val="Arial"/>
        <family val="2"/>
      </rPr>
      <t>são as despesas relacionadas a todos os deslocamentos com finalidades administrativas (Comissões, Consu, Consepe, reuniões, etc).</t>
    </r>
    <r>
      <rPr>
        <b/>
        <sz val="9"/>
        <color rgb="FF000000"/>
        <rFont val="Arial"/>
        <family val="2"/>
      </rPr>
      <t xml:space="preserve"> Material de consumo</t>
    </r>
    <r>
      <rPr>
        <sz val="9"/>
        <color rgb="FF000000"/>
        <rFont val="Arial"/>
        <family val="2"/>
      </rPr>
      <t xml:space="preserve"> são todos os materiais para manutenção mensal ou de estoque (expediente, limpeza, etc); </t>
    </r>
    <r>
      <rPr>
        <b/>
        <sz val="9"/>
        <color rgb="FF000000"/>
        <rFont val="Arial"/>
        <family val="2"/>
      </rPr>
      <t>Passagens</t>
    </r>
    <r>
      <rPr>
        <sz val="9"/>
        <color rgb="FF000000"/>
        <rFont val="Arial"/>
        <family val="2"/>
      </rPr>
      <t xml:space="preserve"> - emitidas para reuniões fora dos 3 campi; </t>
    </r>
    <r>
      <rPr>
        <b/>
        <sz val="9"/>
        <color rgb="FF000000"/>
        <rFont val="Arial"/>
        <family val="2"/>
      </rPr>
      <t xml:space="preserve">Serviços de Consultoria </t>
    </r>
    <r>
      <rPr>
        <sz val="9"/>
        <color rgb="FF000000"/>
        <rFont val="Arial"/>
        <family val="2"/>
      </rPr>
      <t xml:space="preserve">- Utilizado para aprimoramento de sistemas, serviços de reparos ou reformas; </t>
    </r>
    <r>
      <rPr>
        <b/>
        <sz val="9"/>
        <color rgb="FF000000"/>
        <rFont val="Arial"/>
        <family val="2"/>
      </rPr>
      <t xml:space="preserve">Serv. terceiros P.F. - </t>
    </r>
    <r>
      <rPr>
        <sz val="9"/>
        <color rgb="FF000000"/>
        <rFont val="Arial"/>
        <family val="2"/>
      </rPr>
      <t xml:space="preserve">Prestadores de serviços e estagiários (Folha); </t>
    </r>
    <r>
      <rPr>
        <b/>
        <sz val="9"/>
        <color rgb="FF000000"/>
        <rFont val="Arial"/>
        <family val="2"/>
      </rPr>
      <t>Serv. terceiros P.J</t>
    </r>
    <r>
      <rPr>
        <sz val="9"/>
        <color rgb="FF000000"/>
        <rFont val="Arial"/>
        <family val="2"/>
      </rPr>
      <t xml:space="preserve">. - Todos os contratos para manutenção (combustível, manutenção de veículos, alimentação, hospedagem, reprografia, divisórias, etc); </t>
    </r>
    <r>
      <rPr>
        <b/>
        <sz val="9"/>
        <color rgb="FF000000"/>
        <rFont val="Arial"/>
        <family val="2"/>
      </rPr>
      <t xml:space="preserve">Obrigações tributárias e contributivas - </t>
    </r>
    <r>
      <rPr>
        <sz val="9"/>
        <color rgb="FF000000"/>
        <rFont val="Arial"/>
        <family val="2"/>
      </rPr>
      <t xml:space="preserve">Impostos diversos; </t>
    </r>
    <r>
      <rPr>
        <b/>
        <sz val="9"/>
        <color rgb="FF000000"/>
        <rFont val="Arial"/>
        <family val="2"/>
      </rPr>
      <t xml:space="preserve">Equipamento e Material permanente - </t>
    </r>
    <r>
      <rPr>
        <sz val="9"/>
        <color rgb="FF000000"/>
        <rFont val="Arial"/>
        <family val="2"/>
      </rPr>
      <t xml:space="preserve">mobiliarios, quadros, armarios, projetores, condicioadores de ar, etc; </t>
    </r>
    <r>
      <rPr>
        <b/>
        <sz val="9"/>
        <color rgb="FF000000"/>
        <rFont val="Arial"/>
        <family val="2"/>
      </rPr>
      <t xml:space="preserve">Locação de mão de obra - </t>
    </r>
    <r>
      <rPr>
        <sz val="9"/>
        <color rgb="FF000000"/>
        <rFont val="Arial"/>
        <family val="2"/>
      </rPr>
      <t>Contratação de empresas teceirizadas em suporte a administração de prédios públicos, vigilância, limpeza, etc.</t>
    </r>
  </si>
  <si>
    <t>Pagamento de obrigações tributárias, contribuições sociais e econômicas. No caso da UESB, pagamento do PASEP.</t>
  </si>
  <si>
    <t>Compromissos de exercícios passados decorrentes de parcelamento de débitos com INSS e FGTS.</t>
  </si>
  <si>
    <t>Atender à restituição de saldos de convênios e congêneres.</t>
  </si>
  <si>
    <t>Informar à população sobre atos, obras, programas, metas e resultados de ações implementadas pelo órgão.</t>
  </si>
  <si>
    <t>Promover a modernização dos processos de gestão administrativa, inclusive através da aplicação de tecnologia da informação.</t>
  </si>
  <si>
    <t>Seleção e concurso público para docentes e técnicos administrativos.</t>
  </si>
  <si>
    <t>Destina-se a financiar a participação de docentes e tecnicos administrativos em eventos de capacitação.</t>
  </si>
  <si>
    <t>* Saldo da 5444 (R$ 32.383,03) - Após o pagamento do DEA 2015, este valor será remanejado para Graduação.</t>
  </si>
  <si>
    <t xml:space="preserve">O setor de Assistência e Assuntos Estudantis tem desenvolvido suas atividades com base em duas áreas: Permanência e Assistência Estudantil. Com relação a área de Permanência Estudantil (atendimento aos discentes dando-lhes condições de permanecer e concluir seus cursos na Universidade, além de atuar na melhora do Desempenho Acadêmico), o setor tem atendido aos discentes que se “habilitam ao PRAE”, passando a ter os benefícios de Bolsas Auxílio, Residência Universitária, Restaurante Universitário, Ações do PNAEST. Neste sentido, o público atendido através do Recurso Institucional nesta área corresponde: a) Bolsas Auxílio: Permanência, Moradia, Alimentação, Transporte Intermunicipal, Transporte Urbano, Emergencial – atualmente possuem 264 discentes bolsistas; b) Residência Universitária (atualmente somente no campus de Vitória da Conquista) – possuem 17 discentes.  c) Cursos Livres (Inglês – sequencial e semestral, Espanhol – sequencial e semestral, Português, Libras) - possuem 167 beneficiados.   d) Atendidos via a Equipe Multidisciplinar (pedagogia, psicologia e Serviço social): até o mês de Abr/16 foram atendidos 905 discentes pelas profissionais da equipe. Com o saldo do recurso propõe-se: ampliar o quantitativo de Bolsas Auxílio de 264 bolsistas para 712 beneficiados, sendo que neste quantitativo pretende-se conceder 20 vagas adicionais tanto para Itapetinga quanto para Jequié, em virtude da ausência da Residência Universitária nos campi; conceder reajuste de valores tanto das Bolsas Auxílio do Subprograma Permanência quanto das Bolsas dos Monitores dos Cursos Livres do Subprograma Desempenho Acadêmico; implementar a Ação de Tutoria para apoio aos discentes com dificuldades acadêmicas; atendimento de demandas prioritárias para a Residência Universitária; atendimento de solicitações advindas das Entidades Estudantis para a realização de eventos nos três campi.TOTAL GERAL DE BENEFICIADOS: 1.353 discentes. </t>
  </si>
  <si>
    <r>
      <t xml:space="preserve">No âmbito das atividades previstas para </t>
    </r>
    <r>
      <rPr>
        <b/>
        <sz val="9"/>
        <color indexed="8"/>
        <rFont val="Arial"/>
        <family val="2"/>
      </rPr>
      <t>Inovação</t>
    </r>
    <r>
      <rPr>
        <sz val="9"/>
        <color indexed="8"/>
        <rFont val="Arial"/>
        <family val="2"/>
      </rPr>
      <t xml:space="preserve">, destacamos que o recurso alocado para este segmento será destinado para atender as seguintes despesas: </t>
    </r>
    <r>
      <rPr>
        <b/>
        <sz val="9"/>
        <color indexed="8"/>
        <rFont val="Arial"/>
        <family val="2"/>
      </rPr>
      <t>1) Serviços de Terceiros – Pessoa Jurídica</t>
    </r>
    <r>
      <rPr>
        <sz val="9"/>
        <color indexed="8"/>
        <rFont val="Arial"/>
        <family val="2"/>
      </rPr>
      <t xml:space="preserve"> – para fins de pagamento de redação, depósito e acompanhamento de patentes (incluindo busca de anterioridades em bases  nacionais e internacionais, bem como taxas e anuidades junto ao INPI). Neste elemento, também estão incluídas despesas com RV (transporte) para viabilizar a participação de pesquisadores em reuniões, seleção do PIBITI (Programa de Bolsas em Iniciação em Desenvolvimento Tecnológico e Inovação), aulas junto ao PROFNIT (Mestrado Profissional em Propriedade Intelectual) por sermos Instituição associada, bem como quando da realização do Seminártio de Iniciação Científica e Tecnológica (evento anual para que os alunos bolsistas possam mostrar os resultados da pesquisa).   </t>
    </r>
    <r>
      <rPr>
        <b/>
        <sz val="9"/>
        <color indexed="8"/>
        <rFont val="Arial"/>
        <family val="2"/>
      </rPr>
      <t>2) Passagens</t>
    </r>
    <r>
      <rPr>
        <sz val="9"/>
        <color indexed="8"/>
        <rFont val="Arial"/>
        <family val="2"/>
      </rPr>
      <t xml:space="preserve"> – atender as demandas para participação dos pesquisadores em reuniões  junto às agências de fomento (FAPESB, CNPq, FINEP), bem como nos Fóruns e Programas, nos quais a UESB tem representação (FORTEC, PROFNIT) e também quando da realização do processo seletivo para o PIBITI e realização do Seminário ICT 2016.  </t>
    </r>
    <r>
      <rPr>
        <b/>
        <sz val="9"/>
        <color indexed="8"/>
        <rFont val="Arial"/>
        <family val="2"/>
      </rPr>
      <t>3) Diárias</t>
    </r>
    <r>
      <rPr>
        <sz val="9"/>
        <color indexed="8"/>
        <rFont val="Arial"/>
        <family val="2"/>
      </rPr>
      <t xml:space="preserve"> -  para atender as ações anteriormente citadas. Ressaltamos que o recurso aprovado é de fundamental importância para manutenção dos Contratos de Propriedade Intelectual, do Programa PIBITI, do Núcleo de Inovação Tecnológica da UESB e das atividades do PROFNIT. </t>
    </r>
  </si>
  <si>
    <r>
      <t xml:space="preserve">PLANSERV - </t>
    </r>
    <r>
      <rPr>
        <sz val="9"/>
        <color rgb="FF000000"/>
        <rFont val="Arial"/>
        <family val="2"/>
      </rPr>
      <t>Assistência Médica aos Servidores e seus Dependentes.</t>
    </r>
  </si>
  <si>
    <t>Benefícios concedidos: pensões especiais, auxílio natalidade e auxílio funeral.</t>
  </si>
  <si>
    <t>Auxílios transporte e alimentação concedido aos servidores públicos.</t>
  </si>
  <si>
    <t>Atende a débitos oriundos de sentenças judiciárias, obrigações definidas em lei como de pequeno valor e outros débitos judiciais periódicos vincendos.</t>
  </si>
  <si>
    <t>Atender a divulgação de atos oficiais do Órgão (exemplo: publicações no Diário Oficial do Estado).</t>
  </si>
  <si>
    <t>Contratos com concessionárias: Agua, energia, telefonia, dados, PRODEB e EGBA.</t>
  </si>
  <si>
    <t>A Editora da Universidade Estadual do Sudoeste da Bahia (Edições UESB), juntamente com o Comitê Editorial, coordena e regulamenta a política de publicações da UESB, encarregando-se de todas as atividades referentes à editoração e promoção de publicações técnicas, científicas, didáticas e de natureza artístico-literárias da UESB. O bom funcionamento da Edições UESB tanto no âmbito administrativo, quanto em sua infraestrutura geral, é de suma importância para a UESB, pois a regularidade, acessibilidade e qualidade de suas publicações é um dos pré-requisitos básicos para alavancar a classificação da UESB pelos órgãos de avaliação institucional, como o IBICT, Qualis CAPES e ENADE; Para melhor funcionamento da editora é  necessário:  • Atualização  do Sistema Eletrônico de Editoração de Revistas (SEER), que mantém o Portal de Periódicos da UESB. • Cursos para Capacitação  dos Editores dos Periódicos da UESB. • Pagamento de livros impressos e periódicos para 2016 (despesas habituais da editora). Com o saldo do recurso propõe-se adquirir o  código digital object identifier (DOI)  para os periódicos da UESB. O DOI é um padrão para identificação de documentos em redes de computadores, como a Internet. Oferecendo  identificação unívoca da propriedade intelectual de livros, artigos, periódicos  e até imagens encontradas na Internet, associando a cada objeto seus dados básicos e sua origem.</t>
  </si>
</sst>
</file>

<file path=xl/styles.xml><?xml version="1.0" encoding="utf-8"?>
<styleSheet xmlns="http://schemas.openxmlformats.org/spreadsheetml/2006/main">
  <numFmts count="6">
    <numFmt numFmtId="7" formatCode="&quot;R$ &quot;#,##0.00_);\(&quot;R$ &quot;#,##0.00\)"/>
    <numFmt numFmtId="43" formatCode="_(* #,##0.00_);_(* \(#,##0.00\);_(* &quot;-&quot;??_);_(@_)"/>
    <numFmt numFmtId="165" formatCode="[$-10416]#,##0.00;\(#,##0.00\)"/>
    <numFmt numFmtId="166" formatCode="_-&quot;R$ &quot;* #,##0.00_-;&quot;-R$ &quot;* #,##0.00_-;_-&quot;R$ &quot;* \-??_-;_-@_-"/>
    <numFmt numFmtId="167" formatCode="&quot;R$ &quot;#,##0.00_);[Red]&quot;(R$ &quot;#,##0.00\)"/>
    <numFmt numFmtId="168" formatCode="_(* #,##0.00_);_(* \(#,##0.00\);_(* \-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rgb="FF000000"/>
      <name val="Arial Black"/>
      <family val="2"/>
    </font>
    <font>
      <b/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rgb="FFFFFFFF"/>
      <name val="Arial"/>
      <family val="2"/>
    </font>
    <font>
      <b/>
      <sz val="8"/>
      <color theme="0"/>
      <name val="Arial"/>
      <family val="2"/>
    </font>
    <font>
      <b/>
      <sz val="11"/>
      <color rgb="FF000000"/>
      <name val="Calibri"/>
      <family val="2"/>
      <charset val="1"/>
    </font>
    <font>
      <b/>
      <sz val="9"/>
      <name val="Arial"/>
      <family val="2"/>
    </font>
    <font>
      <sz val="9"/>
      <name val="Arial"/>
      <family val="2"/>
    </font>
    <font>
      <i/>
      <sz val="8"/>
      <color rgb="FF000000"/>
      <name val="Arial"/>
      <family val="2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376092"/>
        <bgColor rgb="FF333399"/>
      </patternFill>
    </fill>
    <fill>
      <patternFill patternType="solid">
        <fgColor rgb="FFFFFFFF"/>
        <bgColor rgb="FFFFFFCC"/>
      </patternFill>
    </fill>
    <fill>
      <patternFill patternType="solid">
        <fgColor rgb="FFC00000"/>
        <bgColor rgb="FFFF0000"/>
      </patternFill>
    </fill>
    <fill>
      <patternFill patternType="solid">
        <fgColor rgb="FF8EB4E3"/>
        <bgColor rgb="FF95B3D7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rgb="FF95B3D7"/>
        <bgColor rgb="FF8EB4E3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5" fillId="0" borderId="0" xfId="0" applyFont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top" wrapText="1"/>
    </xf>
    <xf numFmtId="0" fontId="7" fillId="4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2" fillId="0" borderId="0" xfId="0" applyFont="1"/>
    <xf numFmtId="0" fontId="16" fillId="0" borderId="0" xfId="0" applyFont="1" applyAlignment="1">
      <alignment vertical="top"/>
    </xf>
    <xf numFmtId="0" fontId="19" fillId="0" borderId="0" xfId="0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vertical="top" wrapText="1"/>
    </xf>
    <xf numFmtId="0" fontId="17" fillId="0" borderId="24" xfId="0" applyFont="1" applyFill="1" applyBorder="1" applyAlignment="1">
      <alignment vertical="top" wrapText="1"/>
    </xf>
    <xf numFmtId="0" fontId="17" fillId="0" borderId="25" xfId="0" applyFont="1" applyFill="1" applyBorder="1" applyAlignment="1">
      <alignment vertical="top" wrapText="1"/>
    </xf>
    <xf numFmtId="0" fontId="19" fillId="0" borderId="23" xfId="0" applyFont="1" applyFill="1" applyBorder="1" applyAlignment="1">
      <alignment vertical="top" wrapText="1"/>
    </xf>
    <xf numFmtId="0" fontId="19" fillId="0" borderId="24" xfId="0" applyFont="1" applyFill="1" applyBorder="1" applyAlignment="1">
      <alignment vertical="top" wrapText="1"/>
    </xf>
    <xf numFmtId="0" fontId="19" fillId="0" borderId="25" xfId="0" applyFont="1" applyFill="1" applyBorder="1" applyAlignment="1">
      <alignment vertical="top" wrapText="1"/>
    </xf>
    <xf numFmtId="0" fontId="21" fillId="0" borderId="23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7" fontId="18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7" fontId="17" fillId="0" borderId="20" xfId="0" applyNumberFormat="1" applyFont="1" applyFill="1" applyBorder="1" applyAlignment="1">
      <alignment horizontal="left" vertical="center" wrapText="1"/>
    </xf>
    <xf numFmtId="7" fontId="17" fillId="0" borderId="21" xfId="0" applyNumberFormat="1" applyFont="1" applyFill="1" applyBorder="1" applyAlignment="1">
      <alignment horizontal="left" vertical="center" wrapText="1"/>
    </xf>
    <xf numFmtId="7" fontId="17" fillId="0" borderId="22" xfId="0" applyNumberFormat="1" applyFont="1" applyFill="1" applyBorder="1" applyAlignment="1">
      <alignment horizontal="left" vertical="center" wrapText="1"/>
    </xf>
    <xf numFmtId="7" fontId="23" fillId="12" borderId="20" xfId="0" applyNumberFormat="1" applyFont="1" applyFill="1" applyBorder="1" applyAlignment="1">
      <alignment horizontal="left" vertical="center" wrapText="1"/>
    </xf>
    <xf numFmtId="7" fontId="23" fillId="12" borderId="21" xfId="0" applyNumberFormat="1" applyFont="1" applyFill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7" fontId="17" fillId="0" borderId="21" xfId="0" applyNumberFormat="1" applyFont="1" applyFill="1" applyBorder="1" applyAlignment="1">
      <alignment horizontal="left" vertical="top" wrapText="1"/>
    </xf>
    <xf numFmtId="7" fontId="17" fillId="0" borderId="22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4" fontId="9" fillId="0" borderId="0" xfId="0" applyNumberFormat="1" applyFont="1" applyAlignment="1">
      <alignment horizontal="right" vertical="center"/>
    </xf>
    <xf numFmtId="4" fontId="3" fillId="0" borderId="0" xfId="0" applyNumberFormat="1" applyFont="1" applyFill="1" applyAlignment="1" applyProtection="1">
      <alignment horizontal="right" vertical="center" wrapText="1"/>
      <protection locked="0"/>
    </xf>
    <xf numFmtId="7" fontId="7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65" fontId="3" fillId="0" borderId="0" xfId="0" applyNumberFormat="1" applyFont="1" applyAlignment="1" applyProtection="1">
      <alignment horizontal="right" vertical="center" wrapText="1"/>
      <protection locked="0"/>
    </xf>
    <xf numFmtId="7" fontId="7" fillId="0" borderId="13" xfId="0" applyNumberFormat="1" applyFont="1" applyBorder="1" applyAlignment="1">
      <alignment horizontal="right" vertical="center"/>
    </xf>
    <xf numFmtId="0" fontId="6" fillId="3" borderId="4" xfId="1" applyNumberFormat="1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4" fontId="10" fillId="3" borderId="6" xfId="1" applyNumberFormat="1" applyFont="1" applyFill="1" applyBorder="1" applyAlignment="1" applyProtection="1">
      <alignment horizontal="center" vertical="center" wrapText="1"/>
    </xf>
    <xf numFmtId="4" fontId="6" fillId="3" borderId="8" xfId="1" applyNumberFormat="1" applyFont="1" applyFill="1" applyBorder="1" applyAlignment="1" applyProtection="1">
      <alignment horizontal="center" vertical="center" wrapText="1"/>
    </xf>
    <xf numFmtId="4" fontId="6" fillId="0" borderId="0" xfId="1" applyNumberFormat="1" applyFont="1" applyFill="1" applyBorder="1" applyAlignment="1" applyProtection="1">
      <alignment horizontal="center" vertical="center" wrapText="1"/>
    </xf>
    <xf numFmtId="4" fontId="6" fillId="3" borderId="11" xfId="1" applyNumberFormat="1" applyFont="1" applyFill="1" applyBorder="1" applyAlignment="1" applyProtection="1">
      <alignment horizontal="center" vertical="center" wrapText="1"/>
    </xf>
    <xf numFmtId="4" fontId="6" fillId="3" borderId="6" xfId="1" applyNumberFormat="1" applyFont="1" applyFill="1" applyBorder="1" applyAlignment="1" applyProtection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4" fontId="6" fillId="3" borderId="5" xfId="1" applyNumberFormat="1" applyFont="1" applyFill="1" applyBorder="1" applyAlignment="1" applyProtection="1">
      <alignment horizontal="center" vertical="center" wrapText="1"/>
    </xf>
    <xf numFmtId="4" fontId="10" fillId="3" borderId="2" xfId="1" applyNumberFormat="1" applyFont="1" applyFill="1" applyBorder="1" applyAlignment="1" applyProtection="1">
      <alignment horizontal="center" vertical="center" wrapText="1"/>
    </xf>
    <xf numFmtId="4" fontId="6" fillId="3" borderId="9" xfId="1" applyNumberFormat="1" applyFont="1" applyFill="1" applyBorder="1" applyAlignment="1" applyProtection="1">
      <alignment horizontal="center" vertical="center" wrapText="1"/>
    </xf>
    <xf numFmtId="4" fontId="6" fillId="3" borderId="12" xfId="1" applyNumberFormat="1" applyFont="1" applyFill="1" applyBorder="1" applyAlignment="1" applyProtection="1">
      <alignment horizontal="center" vertical="center" wrapText="1"/>
    </xf>
    <xf numFmtId="4" fontId="6" fillId="3" borderId="2" xfId="1" applyNumberFormat="1" applyFont="1" applyFill="1" applyBorder="1" applyAlignment="1" applyProtection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4" fontId="7" fillId="0" borderId="5" xfId="1" applyNumberFormat="1" applyFont="1" applyBorder="1" applyAlignment="1" applyProtection="1">
      <alignment horizontal="right" vertical="center"/>
    </xf>
    <xf numFmtId="7" fontId="7" fillId="0" borderId="5" xfId="0" applyNumberFormat="1" applyFont="1" applyBorder="1" applyAlignment="1">
      <alignment vertical="center"/>
    </xf>
    <xf numFmtId="7" fontId="7" fillId="0" borderId="10" xfId="0" applyNumberFormat="1" applyFont="1" applyBorder="1" applyAlignment="1">
      <alignment horizontal="right" vertical="center"/>
    </xf>
    <xf numFmtId="7" fontId="7" fillId="0" borderId="0" xfId="0" applyNumberFormat="1" applyFont="1" applyFill="1" applyBorder="1" applyAlignment="1">
      <alignment horizontal="right" vertical="center"/>
    </xf>
    <xf numFmtId="0" fontId="6" fillId="3" borderId="4" xfId="1" applyNumberFormat="1" applyFont="1" applyFill="1" applyBorder="1" applyAlignment="1" applyProtection="1">
      <alignment horizontal="center" vertical="center"/>
    </xf>
    <xf numFmtId="0" fontId="6" fillId="3" borderId="5" xfId="1" applyNumberFormat="1" applyFont="1" applyFill="1" applyBorder="1" applyAlignment="1" applyProtection="1">
      <alignment horizontal="center" vertical="center" wrapText="1"/>
    </xf>
    <xf numFmtId="4" fontId="6" fillId="3" borderId="5" xfId="1" applyNumberFormat="1" applyFont="1" applyFill="1" applyBorder="1" applyAlignment="1" applyProtection="1">
      <alignment horizontal="right" vertical="center"/>
    </xf>
    <xf numFmtId="7" fontId="5" fillId="8" borderId="6" xfId="0" applyNumberFormat="1" applyFont="1" applyFill="1" applyBorder="1" applyAlignment="1">
      <alignment horizontal="right" vertical="center"/>
    </xf>
    <xf numFmtId="166" fontId="6" fillId="3" borderId="10" xfId="1" applyNumberFormat="1" applyFont="1" applyFill="1" applyBorder="1" applyAlignment="1" applyProtection="1">
      <alignment horizontal="right" vertical="center"/>
    </xf>
    <xf numFmtId="166" fontId="6" fillId="0" borderId="0" xfId="1" applyNumberFormat="1" applyFont="1" applyFill="1" applyBorder="1" applyAlignment="1" applyProtection="1">
      <alignment horizontal="right" vertical="center"/>
    </xf>
    <xf numFmtId="166" fontId="6" fillId="3" borderId="13" xfId="1" applyNumberFormat="1" applyFont="1" applyFill="1" applyBorder="1" applyAlignment="1" applyProtection="1">
      <alignment horizontal="right" vertical="center"/>
    </xf>
    <xf numFmtId="166" fontId="6" fillId="3" borderId="7" xfId="1" applyNumberFormat="1" applyFont="1" applyFill="1" applyBorder="1" applyAlignment="1" applyProtection="1">
      <alignment horizontal="right" vertical="center"/>
    </xf>
    <xf numFmtId="0" fontId="5" fillId="5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vertical="center" wrapText="1"/>
    </xf>
    <xf numFmtId="4" fontId="5" fillId="7" borderId="5" xfId="1" applyNumberFormat="1" applyFont="1" applyFill="1" applyBorder="1" applyAlignment="1" applyProtection="1">
      <alignment horizontal="right" vertical="center"/>
    </xf>
    <xf numFmtId="7" fontId="5" fillId="8" borderId="2" xfId="0" applyNumberFormat="1" applyFont="1" applyFill="1" applyBorder="1" applyAlignment="1">
      <alignment horizontal="right" vertical="center"/>
    </xf>
    <xf numFmtId="4" fontId="5" fillId="7" borderId="10" xfId="1" applyNumberFormat="1" applyFont="1" applyFill="1" applyBorder="1" applyAlignment="1" applyProtection="1">
      <alignment horizontal="right" vertical="center"/>
    </xf>
    <xf numFmtId="4" fontId="5" fillId="0" borderId="0" xfId="1" applyNumberFormat="1" applyFont="1" applyFill="1" applyBorder="1" applyAlignment="1" applyProtection="1">
      <alignment horizontal="right" vertical="center"/>
    </xf>
    <xf numFmtId="4" fontId="5" fillId="7" borderId="14" xfId="1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7" fillId="4" borderId="5" xfId="0" applyFont="1" applyFill="1" applyBorder="1" applyAlignment="1">
      <alignment vertical="center" wrapText="1"/>
    </xf>
    <xf numFmtId="4" fontId="7" fillId="4" borderId="5" xfId="1" applyNumberFormat="1" applyFont="1" applyFill="1" applyBorder="1" applyAlignment="1" applyProtection="1">
      <alignment horizontal="right" vertical="center"/>
    </xf>
    <xf numFmtId="166" fontId="6" fillId="3" borderId="5" xfId="1" applyNumberFormat="1" applyFont="1" applyFill="1" applyBorder="1" applyAlignment="1" applyProtection="1">
      <alignment horizontal="center" vertical="center"/>
    </xf>
    <xf numFmtId="0" fontId="7" fillId="9" borderId="5" xfId="0" applyFont="1" applyFill="1" applyBorder="1" applyAlignment="1">
      <alignment vertical="center" wrapText="1"/>
    </xf>
    <xf numFmtId="166" fontId="5" fillId="7" borderId="5" xfId="1" applyNumberFormat="1" applyFont="1" applyFill="1" applyBorder="1" applyAlignment="1" applyProtection="1">
      <alignment vertical="center"/>
    </xf>
    <xf numFmtId="166" fontId="5" fillId="7" borderId="10" xfId="1" applyNumberFormat="1" applyFont="1" applyFill="1" applyBorder="1" applyAlignment="1" applyProtection="1">
      <alignment horizontal="right" vertical="center"/>
    </xf>
    <xf numFmtId="166" fontId="5" fillId="0" borderId="0" xfId="1" applyNumberFormat="1" applyFont="1" applyFill="1" applyBorder="1" applyAlignment="1" applyProtection="1">
      <alignment horizontal="right" vertical="center"/>
    </xf>
    <xf numFmtId="166" fontId="5" fillId="7" borderId="14" xfId="1" applyNumberFormat="1" applyFont="1" applyFill="1" applyBorder="1" applyAlignment="1" applyProtection="1">
      <alignment horizontal="right" vertical="center"/>
    </xf>
    <xf numFmtId="166" fontId="5" fillId="7" borderId="5" xfId="1" applyNumberFormat="1" applyFont="1" applyFill="1" applyBorder="1" applyAlignment="1" applyProtection="1">
      <alignment horizontal="right" vertical="center"/>
    </xf>
    <xf numFmtId="166" fontId="7" fillId="4" borderId="5" xfId="1" applyNumberFormat="1" applyFont="1" applyFill="1" applyBorder="1" applyAlignment="1" applyProtection="1">
      <alignment vertical="center"/>
    </xf>
    <xf numFmtId="166" fontId="5" fillId="7" borderId="13" xfId="1" applyNumberFormat="1" applyFont="1" applyFill="1" applyBorder="1" applyAlignment="1" applyProtection="1">
      <alignment horizontal="right" vertical="center"/>
    </xf>
    <xf numFmtId="166" fontId="5" fillId="7" borderId="7" xfId="1" applyNumberFormat="1" applyFont="1" applyFill="1" applyBorder="1" applyAlignment="1" applyProtection="1">
      <alignment horizontal="right" vertical="center"/>
    </xf>
    <xf numFmtId="7" fontId="7" fillId="0" borderId="6" xfId="0" applyNumberFormat="1" applyFont="1" applyBorder="1" applyAlignment="1">
      <alignment horizontal="right" vertical="center"/>
    </xf>
    <xf numFmtId="7" fontId="7" fillId="0" borderId="2" xfId="0" applyNumberFormat="1" applyFont="1" applyBorder="1" applyAlignment="1">
      <alignment horizontal="right" vertical="center"/>
    </xf>
    <xf numFmtId="167" fontId="7" fillId="4" borderId="5" xfId="1" applyNumberFormat="1" applyFont="1" applyFill="1" applyBorder="1" applyAlignment="1" applyProtection="1">
      <alignment horizontal="right" vertical="center"/>
    </xf>
    <xf numFmtId="0" fontId="15" fillId="0" borderId="4" xfId="0" applyFont="1" applyBorder="1" applyAlignment="1">
      <alignment vertical="center"/>
    </xf>
    <xf numFmtId="7" fontId="5" fillId="0" borderId="7" xfId="0" applyNumberFormat="1" applyFont="1" applyBorder="1" applyAlignment="1">
      <alignment horizontal="right" vertical="center"/>
    </xf>
    <xf numFmtId="7" fontId="7" fillId="0" borderId="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0" fontId="5" fillId="0" borderId="0" xfId="2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68" fontId="6" fillId="3" borderId="7" xfId="1" applyNumberFormat="1" applyFont="1" applyFill="1" applyBorder="1" applyAlignment="1" applyProtection="1">
      <alignment horizontal="right" vertical="center"/>
    </xf>
    <xf numFmtId="166" fontId="8" fillId="7" borderId="5" xfId="1" applyNumberFormat="1" applyFont="1" applyFill="1" applyBorder="1" applyAlignment="1" applyProtection="1">
      <alignment vertical="center"/>
    </xf>
    <xf numFmtId="166" fontId="9" fillId="4" borderId="5" xfId="1" applyNumberFormat="1" applyFont="1" applyFill="1" applyBorder="1" applyAlignment="1" applyProtection="1">
      <alignment vertical="center"/>
    </xf>
    <xf numFmtId="7" fontId="5" fillId="8" borderId="5" xfId="0" applyNumberFormat="1" applyFont="1" applyFill="1" applyBorder="1" applyAlignment="1">
      <alignment vertical="center"/>
    </xf>
    <xf numFmtId="7" fontId="5" fillId="10" borderId="7" xfId="0" applyNumberFormat="1" applyFont="1" applyFill="1" applyBorder="1" applyAlignment="1">
      <alignment horizontal="right" vertical="center"/>
    </xf>
    <xf numFmtId="166" fontId="9" fillId="0" borderId="5" xfId="1" applyNumberFormat="1" applyFont="1" applyBorder="1" applyAlignment="1" applyProtection="1">
      <alignment vertical="center"/>
    </xf>
    <xf numFmtId="0" fontId="9" fillId="4" borderId="5" xfId="0" applyFont="1" applyFill="1" applyBorder="1" applyAlignment="1">
      <alignment vertical="center" wrapText="1"/>
    </xf>
    <xf numFmtId="7" fontId="5" fillId="8" borderId="6" xfId="0" applyNumberFormat="1" applyFont="1" applyFill="1" applyBorder="1" applyAlignment="1">
      <alignment horizontal="right" vertical="center" wrapText="1"/>
    </xf>
    <xf numFmtId="7" fontId="5" fillId="8" borderId="2" xfId="0" applyNumberFormat="1" applyFont="1" applyFill="1" applyBorder="1" applyAlignment="1">
      <alignment horizontal="right" vertical="center" wrapText="1"/>
    </xf>
    <xf numFmtId="166" fontId="7" fillId="0" borderId="5" xfId="1" applyNumberFormat="1" applyFont="1" applyBorder="1" applyAlignment="1" applyProtection="1">
      <alignment vertical="center"/>
    </xf>
    <xf numFmtId="0" fontId="9" fillId="0" borderId="4" xfId="0" applyFont="1" applyBorder="1" applyAlignment="1">
      <alignment horizontal="center" vertical="center"/>
    </xf>
    <xf numFmtId="7" fontId="9" fillId="0" borderId="5" xfId="0" applyNumberFormat="1" applyFont="1" applyBorder="1" applyAlignment="1">
      <alignment vertical="center"/>
    </xf>
    <xf numFmtId="7" fontId="9" fillId="0" borderId="7" xfId="0" applyNumberFormat="1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7" fontId="9" fillId="0" borderId="13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168" fontId="6" fillId="3" borderId="5" xfId="1" applyNumberFormat="1" applyFont="1" applyFill="1" applyBorder="1" applyAlignment="1" applyProtection="1">
      <alignment horizontal="center" vertical="center"/>
    </xf>
    <xf numFmtId="166" fontId="7" fillId="0" borderId="7" xfId="1" applyNumberFormat="1" applyFont="1" applyBorder="1" applyAlignment="1" applyProtection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166" fontId="5" fillId="4" borderId="5" xfId="1" applyNumberFormat="1" applyFont="1" applyFill="1" applyBorder="1" applyAlignment="1" applyProtection="1">
      <alignment vertical="center"/>
    </xf>
    <xf numFmtId="0" fontId="8" fillId="3" borderId="4" xfId="1" applyNumberFormat="1" applyFont="1" applyFill="1" applyBorder="1" applyAlignment="1" applyProtection="1">
      <alignment horizontal="center" vertical="center"/>
    </xf>
    <xf numFmtId="0" fontId="11" fillId="3" borderId="5" xfId="1" applyNumberFormat="1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7" fontId="5" fillId="0" borderId="5" xfId="0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4" fontId="7" fillId="0" borderId="5" xfId="2" applyNumberFormat="1" applyFont="1" applyBorder="1" applyAlignment="1" applyProtection="1">
      <alignment horizontal="right" vertical="center"/>
    </xf>
    <xf numFmtId="7" fontId="7" fillId="11" borderId="6" xfId="0" applyNumberFormat="1" applyFont="1" applyFill="1" applyBorder="1" applyAlignment="1">
      <alignment horizontal="right" vertical="center"/>
    </xf>
    <xf numFmtId="7" fontId="7" fillId="0" borderId="18" xfId="0" applyNumberFormat="1" applyFont="1" applyBorder="1" applyAlignment="1">
      <alignment horizontal="right" vertical="center" wrapText="1"/>
    </xf>
    <xf numFmtId="7" fontId="7" fillId="11" borderId="2" xfId="0" applyNumberFormat="1" applyFont="1" applyFill="1" applyBorder="1" applyAlignment="1">
      <alignment horizontal="right" vertical="center"/>
    </xf>
    <xf numFmtId="7" fontId="7" fillId="0" borderId="19" xfId="0" applyNumberFormat="1" applyFont="1" applyBorder="1" applyAlignment="1">
      <alignment horizontal="right" vertical="center" wrapText="1"/>
    </xf>
    <xf numFmtId="7" fontId="7" fillId="0" borderId="1" xfId="0" applyNumberFormat="1" applyFont="1" applyBorder="1" applyAlignment="1">
      <alignment horizontal="right" vertical="center" wrapText="1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6"/>
  <sheetViews>
    <sheetView tabSelected="1" zoomScaleSheetLayoutView="40" workbookViewId="0">
      <selection activeCell="N5" sqref="N5:N14"/>
    </sheetView>
  </sheetViews>
  <sheetFormatPr defaultRowHeight="15"/>
  <cols>
    <col min="1" max="1" width="7.85546875" style="141" customWidth="1"/>
    <col min="2" max="2" width="41.42578125" style="142" customWidth="1"/>
    <col min="3" max="3" width="19.5703125" style="143" hidden="1" customWidth="1"/>
    <col min="4" max="4" width="16.5703125" style="144" hidden="1" customWidth="1"/>
    <col min="5" max="5" width="14.42578125" style="145" customWidth="1"/>
    <col min="6" max="6" width="3.28515625" style="146" customWidth="1"/>
    <col min="7" max="7" width="13.5703125" style="145" customWidth="1"/>
    <col min="8" max="8" width="14.42578125" style="145" customWidth="1"/>
    <col min="9" max="9" width="14.5703125" style="145" customWidth="1"/>
    <col min="10" max="10" width="14.85546875" style="145" bestFit="1" customWidth="1"/>
    <col min="11" max="11" width="3" style="84" customWidth="1"/>
    <col min="12" max="12" width="14.85546875" style="145" customWidth="1"/>
    <col min="13" max="13" width="1.5703125" style="5" customWidth="1"/>
    <col min="14" max="14" width="155.5703125" style="37" customWidth="1"/>
    <col min="15" max="15" width="9.7109375" style="5" hidden="1" customWidth="1"/>
    <col min="16" max="16384" width="9.140625" style="5"/>
  </cols>
  <sheetData>
    <row r="1" spans="1:15" s="1" customFormat="1" ht="27" customHeight="1">
      <c r="A1" s="15" t="s">
        <v>1</v>
      </c>
      <c r="B1" s="16"/>
      <c r="C1" s="16"/>
      <c r="D1" s="16"/>
      <c r="E1" s="17"/>
      <c r="F1" s="77"/>
      <c r="G1" s="13" t="s">
        <v>25</v>
      </c>
      <c r="H1" s="14"/>
      <c r="I1" s="14"/>
      <c r="J1" s="14"/>
      <c r="K1" s="78"/>
      <c r="L1" s="79"/>
      <c r="N1" s="36"/>
    </row>
    <row r="2" spans="1:15" s="3" customFormat="1" ht="19.5" customHeight="1">
      <c r="A2" s="87" t="s">
        <v>2</v>
      </c>
      <c r="B2" s="2" t="s">
        <v>3</v>
      </c>
      <c r="C2" s="88"/>
      <c r="D2" s="89" t="s">
        <v>4</v>
      </c>
      <c r="E2" s="90" t="s">
        <v>22</v>
      </c>
      <c r="F2" s="91"/>
      <c r="G2" s="92" t="s">
        <v>23</v>
      </c>
      <c r="H2" s="93" t="s">
        <v>80</v>
      </c>
      <c r="I2" s="93" t="s">
        <v>24</v>
      </c>
      <c r="J2" s="93" t="s">
        <v>81</v>
      </c>
      <c r="K2" s="94"/>
      <c r="L2" s="93" t="s">
        <v>26</v>
      </c>
      <c r="N2" s="10"/>
    </row>
    <row r="3" spans="1:15" s="4" customFormat="1" ht="36" customHeight="1">
      <c r="A3" s="87"/>
      <c r="B3" s="95" t="s">
        <v>5</v>
      </c>
      <c r="C3" s="95"/>
      <c r="D3" s="96"/>
      <c r="E3" s="97"/>
      <c r="F3" s="91"/>
      <c r="G3" s="98"/>
      <c r="H3" s="99"/>
      <c r="I3" s="99"/>
      <c r="J3" s="99"/>
      <c r="K3" s="100"/>
      <c r="L3" s="99"/>
      <c r="N3" s="37"/>
    </row>
    <row r="4" spans="1:15" ht="16.5" customHeight="1">
      <c r="A4" s="101"/>
      <c r="B4" s="102"/>
      <c r="C4" s="103"/>
      <c r="D4" s="104"/>
      <c r="E4" s="105"/>
      <c r="F4" s="106"/>
      <c r="G4" s="86"/>
      <c r="H4" s="83"/>
      <c r="I4" s="83"/>
      <c r="J4" s="83"/>
      <c r="L4" s="83"/>
    </row>
    <row r="5" spans="1:15" ht="20.100000000000001" customHeight="1">
      <c r="A5" s="107"/>
      <c r="B5" s="108" t="s">
        <v>14</v>
      </c>
      <c r="C5" s="109">
        <f>C6</f>
        <v>500000</v>
      </c>
      <c r="D5" s="110">
        <f>SUM(D7:D15)</f>
        <v>-50000</v>
      </c>
      <c r="E5" s="111">
        <f>E6</f>
        <v>450000</v>
      </c>
      <c r="F5" s="112"/>
      <c r="G5" s="113">
        <f>G6</f>
        <v>134013.80200000003</v>
      </c>
      <c r="H5" s="114">
        <f>H6</f>
        <v>27001.038</v>
      </c>
      <c r="I5" s="114">
        <f>I6</f>
        <v>30185.785999999996</v>
      </c>
      <c r="J5" s="114">
        <f>SUM(G5:I5)</f>
        <v>191200.62600000002</v>
      </c>
      <c r="L5" s="114">
        <f>E5-J5</f>
        <v>258799.37399999998</v>
      </c>
      <c r="N5" s="44" t="s">
        <v>77</v>
      </c>
      <c r="O5" s="21"/>
    </row>
    <row r="6" spans="1:15" ht="20.100000000000001" customHeight="1">
      <c r="A6" s="115">
        <v>6907</v>
      </c>
      <c r="B6" s="116" t="s">
        <v>15</v>
      </c>
      <c r="C6" s="117">
        <f>SUM(C7:C14)</f>
        <v>500000</v>
      </c>
      <c r="D6" s="118"/>
      <c r="E6" s="119">
        <f>SUM(E7:E14)</f>
        <v>450000</v>
      </c>
      <c r="F6" s="120"/>
      <c r="G6" s="121">
        <f>SUM(G7:G15)</f>
        <v>134013.80200000003</v>
      </c>
      <c r="H6" s="117">
        <f>SUM(H7:H15)</f>
        <v>27001.038</v>
      </c>
      <c r="I6" s="117">
        <f>SUM(I7:I15)</f>
        <v>30185.785999999996</v>
      </c>
      <c r="J6" s="117">
        <f>SUM(J7:J15)</f>
        <v>191200.62599999999</v>
      </c>
      <c r="L6" s="117">
        <f>SUM(L7:L15)</f>
        <v>258799.37400000001</v>
      </c>
      <c r="N6" s="45"/>
      <c r="O6" s="22"/>
    </row>
    <row r="7" spans="1:15" ht="20.100000000000001" customHeight="1">
      <c r="A7" s="122"/>
      <c r="B7" s="123" t="s">
        <v>8</v>
      </c>
      <c r="C7" s="124">
        <v>39400</v>
      </c>
      <c r="D7" s="104"/>
      <c r="E7" s="105">
        <f>C7+D7</f>
        <v>39400</v>
      </c>
      <c r="F7" s="106"/>
      <c r="G7" s="86">
        <v>5316.1</v>
      </c>
      <c r="H7" s="83">
        <v>0</v>
      </c>
      <c r="I7" s="83">
        <v>2939</v>
      </c>
      <c r="J7" s="83">
        <f>SUM(G7:I7)</f>
        <v>8255.1</v>
      </c>
      <c r="L7" s="83">
        <f>E7-J7</f>
        <v>31144.9</v>
      </c>
      <c r="N7" s="45"/>
      <c r="O7" s="22"/>
    </row>
    <row r="8" spans="1:15" ht="20.100000000000001" customHeight="1">
      <c r="A8" s="122"/>
      <c r="B8" s="123" t="s">
        <v>13</v>
      </c>
      <c r="C8" s="124">
        <f>131500+68700</f>
        <v>200200</v>
      </c>
      <c r="D8" s="104"/>
      <c r="E8" s="105">
        <f t="shared" ref="E8:E14" si="0">C8+D8</f>
        <v>200200</v>
      </c>
      <c r="F8" s="106"/>
      <c r="G8" s="86">
        <v>0</v>
      </c>
      <c r="H8" s="83">
        <v>0</v>
      </c>
      <c r="I8" s="83">
        <v>0</v>
      </c>
      <c r="J8" s="83">
        <f t="shared" ref="J8:J14" si="1">SUM(G8:I8)</f>
        <v>0</v>
      </c>
      <c r="L8" s="83">
        <f t="shared" ref="L8:L14" si="2">E8-J8</f>
        <v>200200</v>
      </c>
      <c r="N8" s="45"/>
      <c r="O8" s="22"/>
    </row>
    <row r="9" spans="1:15" ht="20.100000000000001" customHeight="1">
      <c r="A9" s="122"/>
      <c r="B9" s="123" t="s">
        <v>9</v>
      </c>
      <c r="C9" s="124">
        <v>78000</v>
      </c>
      <c r="D9" s="104"/>
      <c r="E9" s="105">
        <f t="shared" si="0"/>
        <v>78000</v>
      </c>
      <c r="F9" s="106"/>
      <c r="G9" s="86">
        <v>4676.1000000000004</v>
      </c>
      <c r="H9" s="83">
        <v>0</v>
      </c>
      <c r="I9" s="83">
        <v>5600</v>
      </c>
      <c r="J9" s="83">
        <f t="shared" si="1"/>
        <v>10276.1</v>
      </c>
      <c r="L9" s="83">
        <f t="shared" si="2"/>
        <v>67723.899999999994</v>
      </c>
      <c r="N9" s="45"/>
      <c r="O9" s="22"/>
    </row>
    <row r="10" spans="1:15" ht="20.100000000000001" customHeight="1">
      <c r="A10" s="122"/>
      <c r="B10" s="123" t="s">
        <v>10</v>
      </c>
      <c r="C10" s="124">
        <v>105000</v>
      </c>
      <c r="D10" s="104">
        <v>-50000</v>
      </c>
      <c r="E10" s="105">
        <f t="shared" si="0"/>
        <v>55000</v>
      </c>
      <c r="F10" s="106"/>
      <c r="G10" s="86">
        <v>54696.02</v>
      </c>
      <c r="H10" s="83">
        <v>0</v>
      </c>
      <c r="I10" s="83">
        <v>11745.85</v>
      </c>
      <c r="J10" s="83">
        <f t="shared" si="1"/>
        <v>66441.87</v>
      </c>
      <c r="L10" s="83">
        <f t="shared" si="2"/>
        <v>-11441.869999999995</v>
      </c>
      <c r="N10" s="45"/>
      <c r="O10" s="22"/>
    </row>
    <row r="11" spans="1:15" ht="20.100000000000001" customHeight="1">
      <c r="A11" s="122"/>
      <c r="B11" s="123" t="s">
        <v>11</v>
      </c>
      <c r="C11" s="124">
        <v>12000</v>
      </c>
      <c r="D11" s="104"/>
      <c r="E11" s="105">
        <f t="shared" si="0"/>
        <v>12000</v>
      </c>
      <c r="F11" s="106"/>
      <c r="G11" s="86">
        <v>10026.56</v>
      </c>
      <c r="H11" s="83">
        <v>3001.04</v>
      </c>
      <c r="I11" s="83">
        <v>8250.7800000000007</v>
      </c>
      <c r="J11" s="83">
        <f t="shared" si="1"/>
        <v>21278.379999999997</v>
      </c>
      <c r="L11" s="83">
        <f t="shared" si="2"/>
        <v>-9278.3799999999974</v>
      </c>
      <c r="N11" s="45"/>
      <c r="O11" s="22"/>
    </row>
    <row r="12" spans="1:15" ht="20.100000000000001" customHeight="1">
      <c r="A12" s="122"/>
      <c r="B12" s="123" t="s">
        <v>7</v>
      </c>
      <c r="C12" s="124">
        <v>50000</v>
      </c>
      <c r="D12" s="104"/>
      <c r="E12" s="105">
        <f t="shared" si="0"/>
        <v>50000</v>
      </c>
      <c r="F12" s="106"/>
      <c r="G12" s="86">
        <v>44568.82</v>
      </c>
      <c r="H12" s="83">
        <v>23399.79</v>
      </c>
      <c r="I12" s="83">
        <v>0</v>
      </c>
      <c r="J12" s="83">
        <f t="shared" si="1"/>
        <v>67968.61</v>
      </c>
      <c r="L12" s="83">
        <f t="shared" si="2"/>
        <v>-17968.61</v>
      </c>
      <c r="N12" s="45"/>
      <c r="O12" s="22"/>
    </row>
    <row r="13" spans="1:15" ht="20.100000000000001" customHeight="1">
      <c r="A13" s="122"/>
      <c r="B13" s="123" t="s">
        <v>6</v>
      </c>
      <c r="C13" s="124">
        <v>13000</v>
      </c>
      <c r="D13" s="104"/>
      <c r="E13" s="105">
        <f t="shared" si="0"/>
        <v>13000</v>
      </c>
      <c r="F13" s="106"/>
      <c r="G13" s="86">
        <f>G11*0.2</f>
        <v>2005.3119999999999</v>
      </c>
      <c r="H13" s="83">
        <f>H11*0.2</f>
        <v>600.20799999999997</v>
      </c>
      <c r="I13" s="83">
        <f>I11*0.2</f>
        <v>1650.1560000000002</v>
      </c>
      <c r="J13" s="83">
        <f t="shared" si="1"/>
        <v>4255.6760000000004</v>
      </c>
      <c r="L13" s="83">
        <f t="shared" si="2"/>
        <v>8744.3240000000005</v>
      </c>
      <c r="N13" s="45"/>
      <c r="O13" s="22"/>
    </row>
    <row r="14" spans="1:15" ht="20.100000000000001" customHeight="1">
      <c r="A14" s="122"/>
      <c r="B14" s="123" t="s">
        <v>12</v>
      </c>
      <c r="C14" s="124">
        <v>2400</v>
      </c>
      <c r="D14" s="104"/>
      <c r="E14" s="105">
        <f t="shared" si="0"/>
        <v>2400</v>
      </c>
      <c r="F14" s="106"/>
      <c r="G14" s="86">
        <v>12724.89</v>
      </c>
      <c r="H14" s="83">
        <v>0</v>
      </c>
      <c r="I14" s="83">
        <v>0</v>
      </c>
      <c r="J14" s="83">
        <f t="shared" si="1"/>
        <v>12724.89</v>
      </c>
      <c r="L14" s="83">
        <f t="shared" si="2"/>
        <v>-10324.89</v>
      </c>
      <c r="N14" s="46"/>
      <c r="O14" s="23"/>
    </row>
    <row r="15" spans="1:15" ht="20.100000000000001" customHeight="1">
      <c r="A15" s="101"/>
      <c r="B15" s="102"/>
      <c r="C15" s="103"/>
      <c r="D15" s="104"/>
      <c r="E15" s="105"/>
      <c r="F15" s="106"/>
      <c r="G15" s="86"/>
      <c r="H15" s="83"/>
      <c r="I15" s="83"/>
      <c r="J15" s="83"/>
      <c r="L15" s="83"/>
      <c r="O15" s="9"/>
    </row>
    <row r="16" spans="1:15" ht="20.100000000000001" customHeight="1">
      <c r="A16" s="107"/>
      <c r="B16" s="108" t="s">
        <v>16</v>
      </c>
      <c r="C16" s="125">
        <f>C17</f>
        <v>1565640.18</v>
      </c>
      <c r="D16" s="110">
        <f>SUM(D18:D26)</f>
        <v>-50000</v>
      </c>
      <c r="E16" s="111">
        <f t="shared" ref="E16:E42" si="3">C16-D16</f>
        <v>1615640.18</v>
      </c>
      <c r="F16" s="112"/>
      <c r="G16" s="113">
        <f>G17</f>
        <v>69325.98</v>
      </c>
      <c r="H16" s="114">
        <f>H17</f>
        <v>280985</v>
      </c>
      <c r="I16" s="114">
        <f>I17</f>
        <v>1753.06</v>
      </c>
      <c r="J16" s="114">
        <f>SUM(G16:I16)</f>
        <v>352064.04</v>
      </c>
      <c r="L16" s="114">
        <f>E16-J16</f>
        <v>1263576.1399999999</v>
      </c>
      <c r="N16" s="44" t="s">
        <v>98</v>
      </c>
      <c r="O16" s="21"/>
    </row>
    <row r="17" spans="1:15" ht="22.5">
      <c r="A17" s="115">
        <v>6910</v>
      </c>
      <c r="B17" s="126" t="s">
        <v>17</v>
      </c>
      <c r="C17" s="127">
        <f>SUM(C18:C25)</f>
        <v>1565640.18</v>
      </c>
      <c r="D17" s="118"/>
      <c r="E17" s="128">
        <f>SUM(E18:E25)</f>
        <v>1515640.18</v>
      </c>
      <c r="F17" s="129"/>
      <c r="G17" s="130">
        <f>SUM(G18:G26)</f>
        <v>69325.98</v>
      </c>
      <c r="H17" s="131">
        <f>SUM(H18:H26)</f>
        <v>280985</v>
      </c>
      <c r="I17" s="131">
        <f>SUM(I18:I26)</f>
        <v>1753.06</v>
      </c>
      <c r="J17" s="131">
        <f>SUM(J18:J26)</f>
        <v>352064.04</v>
      </c>
      <c r="L17" s="131">
        <f>SUM(L18:L26)</f>
        <v>1163576.1400000001</v>
      </c>
      <c r="N17" s="45"/>
      <c r="O17" s="22"/>
    </row>
    <row r="18" spans="1:15" ht="20.100000000000001" customHeight="1">
      <c r="A18" s="122"/>
      <c r="B18" s="123" t="s">
        <v>8</v>
      </c>
      <c r="C18" s="132">
        <v>0</v>
      </c>
      <c r="D18" s="104"/>
      <c r="E18" s="105">
        <f>C18+D18</f>
        <v>0</v>
      </c>
      <c r="F18" s="106"/>
      <c r="G18" s="86">
        <v>991.5</v>
      </c>
      <c r="H18" s="83">
        <v>0</v>
      </c>
      <c r="I18" s="83">
        <v>558</v>
      </c>
      <c r="J18" s="83">
        <f>SUM(G18:I18)</f>
        <v>1549.5</v>
      </c>
      <c r="L18" s="83">
        <f>E18-J18</f>
        <v>-1549.5</v>
      </c>
      <c r="N18" s="45"/>
      <c r="O18" s="22"/>
    </row>
    <row r="19" spans="1:15" ht="20.100000000000001" customHeight="1">
      <c r="A19" s="122"/>
      <c r="B19" s="123" t="s">
        <v>13</v>
      </c>
      <c r="C19" s="132">
        <v>1473624</v>
      </c>
      <c r="D19" s="104"/>
      <c r="E19" s="105">
        <f t="shared" ref="E19:E25" si="4">C19+D19</f>
        <v>1473624</v>
      </c>
      <c r="F19" s="106"/>
      <c r="G19" s="86">
        <v>880</v>
      </c>
      <c r="H19" s="83">
        <v>280985</v>
      </c>
      <c r="I19" s="83">
        <v>0</v>
      </c>
      <c r="J19" s="83">
        <f t="shared" ref="J19:J25" si="5">SUM(G19:I19)</f>
        <v>281865</v>
      </c>
      <c r="L19" s="83">
        <f t="shared" ref="L19:L25" si="6">E19-J19</f>
        <v>1191759</v>
      </c>
      <c r="N19" s="45"/>
      <c r="O19" s="22"/>
    </row>
    <row r="20" spans="1:15" ht="20.100000000000001" customHeight="1">
      <c r="A20" s="122"/>
      <c r="B20" s="123" t="s">
        <v>9</v>
      </c>
      <c r="C20" s="132">
        <v>0</v>
      </c>
      <c r="D20" s="104"/>
      <c r="E20" s="105">
        <f t="shared" si="4"/>
        <v>0</v>
      </c>
      <c r="F20" s="106"/>
      <c r="G20" s="86">
        <v>0</v>
      </c>
      <c r="H20" s="83">
        <v>0</v>
      </c>
      <c r="I20" s="83">
        <v>0</v>
      </c>
      <c r="J20" s="83">
        <f t="shared" si="5"/>
        <v>0</v>
      </c>
      <c r="L20" s="83">
        <f t="shared" si="6"/>
        <v>0</v>
      </c>
      <c r="N20" s="45"/>
      <c r="O20" s="22"/>
    </row>
    <row r="21" spans="1:15" ht="20.100000000000001" customHeight="1">
      <c r="A21" s="122"/>
      <c r="B21" s="123" t="s">
        <v>10</v>
      </c>
      <c r="C21" s="132">
        <v>92016.18</v>
      </c>
      <c r="D21" s="104">
        <v>-50000</v>
      </c>
      <c r="E21" s="105">
        <f t="shared" si="4"/>
        <v>42016.179999999993</v>
      </c>
      <c r="F21" s="106"/>
      <c r="G21" s="86">
        <v>13142.03</v>
      </c>
      <c r="H21" s="83">
        <v>0</v>
      </c>
      <c r="I21" s="83">
        <v>332.35</v>
      </c>
      <c r="J21" s="83">
        <f t="shared" si="5"/>
        <v>13474.380000000001</v>
      </c>
      <c r="L21" s="83">
        <f t="shared" si="6"/>
        <v>28541.799999999992</v>
      </c>
      <c r="N21" s="45"/>
      <c r="O21" s="22"/>
    </row>
    <row r="22" spans="1:15" ht="20.100000000000001" customHeight="1">
      <c r="A22" s="122"/>
      <c r="B22" s="123" t="s">
        <v>11</v>
      </c>
      <c r="C22" s="132">
        <v>0</v>
      </c>
      <c r="D22" s="104"/>
      <c r="E22" s="105">
        <f t="shared" si="4"/>
        <v>0</v>
      </c>
      <c r="F22" s="106"/>
      <c r="G22" s="86">
        <v>0</v>
      </c>
      <c r="H22" s="83">
        <v>0</v>
      </c>
      <c r="I22" s="83">
        <v>0</v>
      </c>
      <c r="J22" s="83">
        <f t="shared" si="5"/>
        <v>0</v>
      </c>
      <c r="L22" s="83">
        <f t="shared" si="6"/>
        <v>0</v>
      </c>
      <c r="N22" s="45"/>
      <c r="O22" s="22"/>
    </row>
    <row r="23" spans="1:15" ht="20.100000000000001" customHeight="1">
      <c r="A23" s="122"/>
      <c r="B23" s="123" t="s">
        <v>7</v>
      </c>
      <c r="C23" s="132">
        <v>0</v>
      </c>
      <c r="D23" s="104"/>
      <c r="E23" s="105">
        <f t="shared" si="4"/>
        <v>0</v>
      </c>
      <c r="F23" s="106"/>
      <c r="G23" s="86">
        <v>54312.45</v>
      </c>
      <c r="H23" s="83">
        <v>0</v>
      </c>
      <c r="I23" s="83">
        <f>800.6+62.11</f>
        <v>862.71</v>
      </c>
      <c r="J23" s="83">
        <f t="shared" si="5"/>
        <v>55175.159999999996</v>
      </c>
      <c r="L23" s="83">
        <f t="shared" si="6"/>
        <v>-55175.159999999996</v>
      </c>
      <c r="N23" s="45"/>
      <c r="O23" s="22"/>
    </row>
    <row r="24" spans="1:15" ht="20.100000000000001" customHeight="1">
      <c r="A24" s="122"/>
      <c r="B24" s="123" t="s">
        <v>6</v>
      </c>
      <c r="C24" s="132">
        <v>0</v>
      </c>
      <c r="D24" s="104"/>
      <c r="E24" s="105">
        <f t="shared" si="4"/>
        <v>0</v>
      </c>
      <c r="F24" s="106"/>
      <c r="G24" s="86">
        <v>0</v>
      </c>
      <c r="H24" s="83">
        <v>0</v>
      </c>
      <c r="I24" s="83">
        <v>0</v>
      </c>
      <c r="J24" s="83">
        <f t="shared" si="5"/>
        <v>0</v>
      </c>
      <c r="L24" s="83">
        <f t="shared" si="6"/>
        <v>0</v>
      </c>
      <c r="N24" s="45"/>
      <c r="O24" s="22"/>
    </row>
    <row r="25" spans="1:15" ht="20.100000000000001" customHeight="1">
      <c r="A25" s="122"/>
      <c r="B25" s="123" t="s">
        <v>12</v>
      </c>
      <c r="C25" s="132">
        <v>0</v>
      </c>
      <c r="D25" s="104"/>
      <c r="E25" s="105">
        <f t="shared" si="4"/>
        <v>0</v>
      </c>
      <c r="F25" s="106"/>
      <c r="G25" s="86">
        <v>0</v>
      </c>
      <c r="H25" s="83">
        <v>0</v>
      </c>
      <c r="I25" s="83">
        <v>0</v>
      </c>
      <c r="J25" s="83">
        <f t="shared" si="5"/>
        <v>0</v>
      </c>
      <c r="L25" s="83">
        <f t="shared" si="6"/>
        <v>0</v>
      </c>
      <c r="N25" s="46"/>
      <c r="O25" s="23"/>
    </row>
    <row r="26" spans="1:15" ht="20.100000000000001" customHeight="1">
      <c r="A26" s="101"/>
      <c r="B26" s="102"/>
      <c r="C26" s="103"/>
      <c r="D26" s="104"/>
      <c r="E26" s="105"/>
      <c r="F26" s="106"/>
      <c r="G26" s="86"/>
      <c r="H26" s="83"/>
      <c r="I26" s="83"/>
      <c r="J26" s="83"/>
      <c r="L26" s="83"/>
      <c r="O26" s="9"/>
    </row>
    <row r="27" spans="1:15" ht="20.100000000000001" customHeight="1">
      <c r="A27" s="101"/>
      <c r="B27" s="102"/>
      <c r="C27" s="103"/>
      <c r="D27" s="104"/>
      <c r="E27" s="105"/>
      <c r="F27" s="106"/>
      <c r="G27" s="86"/>
      <c r="H27" s="83"/>
      <c r="I27" s="83"/>
      <c r="J27" s="83"/>
      <c r="L27" s="83"/>
      <c r="O27" s="9"/>
    </row>
    <row r="28" spans="1:15" ht="24.95" customHeight="1">
      <c r="A28" s="107"/>
      <c r="B28" s="108" t="s">
        <v>18</v>
      </c>
      <c r="C28" s="109">
        <f>C29</f>
        <v>14476.77</v>
      </c>
      <c r="D28" s="104"/>
      <c r="E28" s="111">
        <f>E29</f>
        <v>12476.77</v>
      </c>
      <c r="F28" s="112"/>
      <c r="G28" s="113">
        <f>G29</f>
        <v>57.5</v>
      </c>
      <c r="H28" s="114">
        <f>H29</f>
        <v>0</v>
      </c>
      <c r="I28" s="114">
        <f>I29</f>
        <v>12744.91</v>
      </c>
      <c r="J28" s="114">
        <f>SUM(G28:I28)</f>
        <v>12802.41</v>
      </c>
      <c r="L28" s="114">
        <f>E28-J28</f>
        <v>-325.63999999999942</v>
      </c>
      <c r="N28" s="44" t="s">
        <v>106</v>
      </c>
      <c r="O28" s="21"/>
    </row>
    <row r="29" spans="1:15" ht="24.95" customHeight="1">
      <c r="A29" s="115">
        <v>6912</v>
      </c>
      <c r="B29" s="116" t="s">
        <v>19</v>
      </c>
      <c r="C29" s="117">
        <f>SUM(C30:C33)</f>
        <v>14476.77</v>
      </c>
      <c r="D29" s="104"/>
      <c r="E29" s="128">
        <f>SUM(E30:E33)</f>
        <v>12476.77</v>
      </c>
      <c r="F29" s="129"/>
      <c r="G29" s="133">
        <f>SUM(G30:G34)</f>
        <v>57.5</v>
      </c>
      <c r="H29" s="134">
        <f>SUM(H30:H34)</f>
        <v>0</v>
      </c>
      <c r="I29" s="134">
        <f>SUM(I30:I34)</f>
        <v>12744.91</v>
      </c>
      <c r="J29" s="134">
        <f>SUM(J30:J34)</f>
        <v>12802.41</v>
      </c>
      <c r="L29" s="134">
        <f>SUM(L30:L34)</f>
        <v>-325.63999999999942</v>
      </c>
      <c r="N29" s="45"/>
      <c r="O29" s="22"/>
    </row>
    <row r="30" spans="1:15" ht="24.95" customHeight="1">
      <c r="A30" s="122"/>
      <c r="B30" s="123" t="s">
        <v>8</v>
      </c>
      <c r="C30" s="124">
        <v>2000</v>
      </c>
      <c r="D30" s="104"/>
      <c r="E30" s="105">
        <v>0</v>
      </c>
      <c r="F30" s="106"/>
      <c r="G30" s="86">
        <v>57.5</v>
      </c>
      <c r="H30" s="83">
        <v>0</v>
      </c>
      <c r="I30" s="83">
        <v>0</v>
      </c>
      <c r="J30" s="83">
        <f>SUM(G30:I30)</f>
        <v>57.5</v>
      </c>
      <c r="L30" s="83">
        <f>E30-J30</f>
        <v>-57.5</v>
      </c>
      <c r="N30" s="45"/>
      <c r="O30" s="22"/>
    </row>
    <row r="31" spans="1:15" ht="24.95" customHeight="1">
      <c r="A31" s="122"/>
      <c r="B31" s="123" t="s">
        <v>9</v>
      </c>
      <c r="C31" s="124">
        <v>2000</v>
      </c>
      <c r="D31" s="104"/>
      <c r="E31" s="105">
        <v>0</v>
      </c>
      <c r="F31" s="106"/>
      <c r="G31" s="86">
        <v>0</v>
      </c>
      <c r="H31" s="83">
        <v>0</v>
      </c>
      <c r="I31" s="83">
        <v>0</v>
      </c>
      <c r="J31" s="83">
        <f t="shared" ref="J31:J33" si="7">SUM(G31:I31)</f>
        <v>0</v>
      </c>
      <c r="L31" s="83">
        <f t="shared" ref="L31:L33" si="8">E31-J31</f>
        <v>0</v>
      </c>
      <c r="N31" s="45"/>
      <c r="O31" s="22"/>
    </row>
    <row r="32" spans="1:15" ht="24.95" customHeight="1">
      <c r="A32" s="122"/>
      <c r="B32" s="123" t="s">
        <v>10</v>
      </c>
      <c r="C32" s="124"/>
      <c r="D32" s="104"/>
      <c r="E32" s="105">
        <v>1144.9100000000001</v>
      </c>
      <c r="F32" s="106"/>
      <c r="G32" s="86">
        <v>0</v>
      </c>
      <c r="H32" s="83">
        <v>0</v>
      </c>
      <c r="I32" s="83">
        <v>1144.9100000000001</v>
      </c>
      <c r="J32" s="83">
        <f t="shared" si="7"/>
        <v>1144.9100000000001</v>
      </c>
      <c r="L32" s="83">
        <f t="shared" si="8"/>
        <v>0</v>
      </c>
      <c r="N32" s="45"/>
      <c r="O32" s="22"/>
    </row>
    <row r="33" spans="1:15" ht="24.95" customHeight="1">
      <c r="A33" s="122"/>
      <c r="B33" s="123" t="s">
        <v>7</v>
      </c>
      <c r="C33" s="124">
        <v>10476.77</v>
      </c>
      <c r="D33" s="104"/>
      <c r="E33" s="105">
        <f>12476.77-E32</f>
        <v>11331.86</v>
      </c>
      <c r="F33" s="106"/>
      <c r="G33" s="86">
        <v>0</v>
      </c>
      <c r="H33" s="83">
        <v>0</v>
      </c>
      <c r="I33" s="83">
        <v>11600</v>
      </c>
      <c r="J33" s="83">
        <f t="shared" si="7"/>
        <v>11600</v>
      </c>
      <c r="L33" s="83">
        <f t="shared" si="8"/>
        <v>-268.13999999999942</v>
      </c>
      <c r="N33" s="46"/>
      <c r="O33" s="23"/>
    </row>
    <row r="34" spans="1:15" ht="20.100000000000001" customHeight="1">
      <c r="A34" s="101"/>
      <c r="B34" s="102"/>
      <c r="C34" s="103"/>
      <c r="D34" s="104"/>
      <c r="E34" s="105"/>
      <c r="F34" s="106"/>
      <c r="G34" s="86"/>
      <c r="H34" s="83"/>
      <c r="I34" s="83"/>
      <c r="J34" s="83"/>
      <c r="L34" s="83"/>
      <c r="O34" s="9"/>
    </row>
    <row r="35" spans="1:15" ht="30" customHeight="1">
      <c r="A35" s="107"/>
      <c r="B35" s="108" t="s">
        <v>20</v>
      </c>
      <c r="C35" s="109">
        <f>C36</f>
        <v>56145.46</v>
      </c>
      <c r="D35" s="135"/>
      <c r="E35" s="111">
        <f t="shared" si="3"/>
        <v>56145.46</v>
      </c>
      <c r="F35" s="112"/>
      <c r="G35" s="113">
        <f>G36</f>
        <v>0</v>
      </c>
      <c r="H35" s="114">
        <f>H36</f>
        <v>0</v>
      </c>
      <c r="I35" s="114">
        <f>I36</f>
        <v>0</v>
      </c>
      <c r="J35" s="114">
        <f>SUM(G35:I35)</f>
        <v>0</v>
      </c>
      <c r="L35" s="114">
        <f>E35-J35</f>
        <v>56145.46</v>
      </c>
      <c r="N35" s="44" t="s">
        <v>84</v>
      </c>
      <c r="O35" s="24"/>
    </row>
    <row r="36" spans="1:15" ht="25.5" customHeight="1">
      <c r="A36" s="115">
        <v>2552</v>
      </c>
      <c r="B36" s="116" t="s">
        <v>21</v>
      </c>
      <c r="C36" s="117">
        <f>SUM(C37:C42)</f>
        <v>56145.46</v>
      </c>
      <c r="D36" s="136"/>
      <c r="E36" s="128">
        <f t="shared" si="3"/>
        <v>56145.46</v>
      </c>
      <c r="F36" s="129"/>
      <c r="G36" s="133">
        <f>SUM(G37:G42)</f>
        <v>0</v>
      </c>
      <c r="H36" s="134">
        <f>SUM(H37:H42)</f>
        <v>0</v>
      </c>
      <c r="I36" s="134">
        <f>SUM(I37:I42)</f>
        <v>0</v>
      </c>
      <c r="J36" s="134">
        <f>SUM(J37:J42)</f>
        <v>0</v>
      </c>
      <c r="L36" s="134">
        <f>SUM(L37:L42)</f>
        <v>56145.46</v>
      </c>
      <c r="N36" s="45"/>
      <c r="O36" s="25"/>
    </row>
    <row r="37" spans="1:15" ht="21.95" customHeight="1">
      <c r="A37" s="122"/>
      <c r="B37" s="123" t="s">
        <v>8</v>
      </c>
      <c r="C37" s="124">
        <v>5000</v>
      </c>
      <c r="D37" s="104"/>
      <c r="E37" s="105">
        <f t="shared" si="3"/>
        <v>5000</v>
      </c>
      <c r="F37" s="106"/>
      <c r="G37" s="86">
        <v>0</v>
      </c>
      <c r="H37" s="83">
        <v>0</v>
      </c>
      <c r="I37" s="83">
        <v>0</v>
      </c>
      <c r="J37" s="83">
        <f>SUM(G37:I37)</f>
        <v>0</v>
      </c>
      <c r="L37" s="83">
        <f>E37-J37</f>
        <v>5000</v>
      </c>
      <c r="N37" s="45"/>
      <c r="O37" s="25"/>
    </row>
    <row r="38" spans="1:15" ht="21.95" customHeight="1">
      <c r="A38" s="122"/>
      <c r="B38" s="123" t="s">
        <v>9</v>
      </c>
      <c r="C38" s="124">
        <v>14000</v>
      </c>
      <c r="D38" s="104"/>
      <c r="E38" s="105">
        <f t="shared" si="3"/>
        <v>14000</v>
      </c>
      <c r="F38" s="106"/>
      <c r="G38" s="86">
        <v>0</v>
      </c>
      <c r="H38" s="83">
        <v>0</v>
      </c>
      <c r="I38" s="83">
        <v>0</v>
      </c>
      <c r="J38" s="83">
        <f t="shared" ref="J38:J42" si="9">SUM(G38:I38)</f>
        <v>0</v>
      </c>
      <c r="L38" s="83">
        <f t="shared" ref="L38:L42" si="10">E38-J38</f>
        <v>14000</v>
      </c>
      <c r="N38" s="45"/>
      <c r="O38" s="25"/>
    </row>
    <row r="39" spans="1:15" ht="21.95" customHeight="1">
      <c r="A39" s="122"/>
      <c r="B39" s="123" t="s">
        <v>10</v>
      </c>
      <c r="C39" s="124">
        <v>7000</v>
      </c>
      <c r="D39" s="104"/>
      <c r="E39" s="105">
        <f t="shared" si="3"/>
        <v>7000</v>
      </c>
      <c r="F39" s="106"/>
      <c r="G39" s="86">
        <v>0</v>
      </c>
      <c r="H39" s="83">
        <v>0</v>
      </c>
      <c r="I39" s="83">
        <v>0</v>
      </c>
      <c r="J39" s="83">
        <f t="shared" si="9"/>
        <v>0</v>
      </c>
      <c r="L39" s="83">
        <f t="shared" si="10"/>
        <v>7000</v>
      </c>
      <c r="N39" s="45"/>
      <c r="O39" s="25"/>
    </row>
    <row r="40" spans="1:15" ht="21.95" customHeight="1">
      <c r="A40" s="122"/>
      <c r="B40" s="123" t="s">
        <v>11</v>
      </c>
      <c r="C40" s="124">
        <v>0</v>
      </c>
      <c r="D40" s="104"/>
      <c r="E40" s="105">
        <f t="shared" si="3"/>
        <v>0</v>
      </c>
      <c r="F40" s="106"/>
      <c r="G40" s="86">
        <v>0</v>
      </c>
      <c r="H40" s="83">
        <v>0</v>
      </c>
      <c r="I40" s="83">
        <v>0</v>
      </c>
      <c r="J40" s="83">
        <f t="shared" si="9"/>
        <v>0</v>
      </c>
      <c r="L40" s="83">
        <f t="shared" si="10"/>
        <v>0</v>
      </c>
      <c r="N40" s="45"/>
      <c r="O40" s="25"/>
    </row>
    <row r="41" spans="1:15" ht="21.95" customHeight="1">
      <c r="A41" s="122"/>
      <c r="B41" s="123" t="s">
        <v>7</v>
      </c>
      <c r="C41" s="124">
        <v>30145.46</v>
      </c>
      <c r="D41" s="104"/>
      <c r="E41" s="105">
        <f t="shared" si="3"/>
        <v>30145.46</v>
      </c>
      <c r="F41" s="106"/>
      <c r="G41" s="86">
        <v>0</v>
      </c>
      <c r="H41" s="83">
        <v>0</v>
      </c>
      <c r="I41" s="83">
        <v>0</v>
      </c>
      <c r="J41" s="83">
        <f t="shared" si="9"/>
        <v>0</v>
      </c>
      <c r="L41" s="83">
        <f t="shared" si="10"/>
        <v>30145.46</v>
      </c>
      <c r="N41" s="45"/>
      <c r="O41" s="25"/>
    </row>
    <row r="42" spans="1:15" ht="21.95" customHeight="1">
      <c r="A42" s="122"/>
      <c r="B42" s="123" t="s">
        <v>6</v>
      </c>
      <c r="C42" s="124">
        <v>0</v>
      </c>
      <c r="D42" s="104"/>
      <c r="E42" s="105">
        <f t="shared" si="3"/>
        <v>0</v>
      </c>
      <c r="F42" s="106"/>
      <c r="G42" s="86">
        <v>0</v>
      </c>
      <c r="H42" s="83">
        <v>0</v>
      </c>
      <c r="I42" s="83">
        <v>0</v>
      </c>
      <c r="J42" s="83">
        <f t="shared" si="9"/>
        <v>0</v>
      </c>
      <c r="L42" s="83">
        <f t="shared" si="10"/>
        <v>0</v>
      </c>
      <c r="N42" s="46"/>
      <c r="O42" s="26"/>
    </row>
    <row r="45" spans="1:15" s="11" customFormat="1" ht="20.100000000000001" customHeight="1">
      <c r="A45" s="107"/>
      <c r="B45" s="108" t="s">
        <v>27</v>
      </c>
      <c r="C45" s="125">
        <f>C46</f>
        <v>1420833.54</v>
      </c>
      <c r="D45" s="110">
        <f>SUM(D47:D57)</f>
        <v>-50000</v>
      </c>
      <c r="E45" s="114">
        <f>E46</f>
        <v>1370833.54</v>
      </c>
      <c r="F45" s="106"/>
      <c r="G45" s="113">
        <f>G46</f>
        <v>176879.65</v>
      </c>
      <c r="H45" s="114">
        <f>H46</f>
        <v>137624.5</v>
      </c>
      <c r="I45" s="114">
        <f>I46</f>
        <v>374224.614</v>
      </c>
      <c r="J45" s="114">
        <f>SUM(G45:I45)</f>
        <v>688728.76399999997</v>
      </c>
      <c r="K45" s="84"/>
      <c r="L45" s="114">
        <f>E45-J45</f>
        <v>682104.77600000007</v>
      </c>
      <c r="N45" s="47" t="s">
        <v>82</v>
      </c>
      <c r="O45" s="27"/>
    </row>
    <row r="46" spans="1:15" s="11" customFormat="1" ht="20.100000000000001" customHeight="1">
      <c r="A46" s="115">
        <v>6909</v>
      </c>
      <c r="B46" s="126" t="s">
        <v>28</v>
      </c>
      <c r="C46" s="127">
        <f>SUM(C47:C54)</f>
        <v>1420833.54</v>
      </c>
      <c r="D46" s="118"/>
      <c r="E46" s="131">
        <f>SUM(E47:E54)</f>
        <v>1370833.54</v>
      </c>
      <c r="F46" s="112"/>
      <c r="G46" s="121">
        <f>SUM(G47:G57)</f>
        <v>176879.65</v>
      </c>
      <c r="H46" s="121">
        <f t="shared" ref="H46:J46" si="11">SUM(H47:H57)</f>
        <v>137624.5</v>
      </c>
      <c r="I46" s="121">
        <f t="shared" si="11"/>
        <v>374224.614</v>
      </c>
      <c r="J46" s="121">
        <f t="shared" si="11"/>
        <v>688728.76400000008</v>
      </c>
      <c r="K46" s="84"/>
      <c r="L46" s="117">
        <f>SUM(L47:L57)</f>
        <v>682104.77600000007</v>
      </c>
      <c r="N46" s="48"/>
      <c r="O46" s="28"/>
    </row>
    <row r="47" spans="1:15" s="11" customFormat="1" ht="20.100000000000001" customHeight="1">
      <c r="A47" s="122"/>
      <c r="B47" s="123" t="s">
        <v>8</v>
      </c>
      <c r="C47" s="137">
        <v>170000</v>
      </c>
      <c r="D47" s="104"/>
      <c r="E47" s="83">
        <f>C47+D47</f>
        <v>170000</v>
      </c>
      <c r="F47" s="120"/>
      <c r="G47" s="80">
        <f>7215.5+2711.8</f>
        <v>9927.2999999999993</v>
      </c>
      <c r="H47" s="83">
        <v>0</v>
      </c>
      <c r="I47" s="83">
        <v>3151</v>
      </c>
      <c r="J47" s="83">
        <f>SUM(G47:I47)</f>
        <v>13078.3</v>
      </c>
      <c r="K47" s="84"/>
      <c r="L47" s="83">
        <f t="shared" ref="L47:L55" si="12">E47-J47</f>
        <v>156921.70000000001</v>
      </c>
      <c r="N47" s="48"/>
      <c r="O47" s="28"/>
    </row>
    <row r="48" spans="1:15" s="11" customFormat="1" ht="20.100000000000001" customHeight="1">
      <c r="A48" s="122"/>
      <c r="B48" s="123" t="s">
        <v>9</v>
      </c>
      <c r="C48" s="137">
        <v>0</v>
      </c>
      <c r="D48" s="104"/>
      <c r="E48" s="83">
        <f t="shared" ref="E48:E54" si="13">C48+D48</f>
        <v>0</v>
      </c>
      <c r="F48" s="106"/>
      <c r="G48" s="86">
        <v>0</v>
      </c>
      <c r="H48" s="85">
        <v>2224.5</v>
      </c>
      <c r="I48" s="83">
        <v>2224.5</v>
      </c>
      <c r="J48" s="83">
        <f t="shared" ref="J48:J55" si="14">SUM(G48:I48)</f>
        <v>4449</v>
      </c>
      <c r="K48" s="84"/>
      <c r="L48" s="83">
        <f t="shared" si="12"/>
        <v>-4449</v>
      </c>
      <c r="N48" s="48"/>
      <c r="O48" s="28"/>
    </row>
    <row r="49" spans="1:15" s="11" customFormat="1" ht="20.100000000000001" customHeight="1">
      <c r="A49" s="122"/>
      <c r="B49" s="123" t="s">
        <v>10</v>
      </c>
      <c r="C49" s="137">
        <v>100000</v>
      </c>
      <c r="D49" s="104"/>
      <c r="E49" s="83">
        <f t="shared" si="13"/>
        <v>100000</v>
      </c>
      <c r="F49" s="106"/>
      <c r="G49" s="81">
        <f>42004.7+51647.47</f>
        <v>93652.17</v>
      </c>
      <c r="H49" s="83">
        <v>0</v>
      </c>
      <c r="I49" s="83">
        <f>74147.97+1112.13</f>
        <v>75260.100000000006</v>
      </c>
      <c r="J49" s="83">
        <f t="shared" si="14"/>
        <v>168912.27000000002</v>
      </c>
      <c r="K49" s="84"/>
      <c r="L49" s="83">
        <f t="shared" si="12"/>
        <v>-68912.270000000019</v>
      </c>
      <c r="N49" s="48"/>
      <c r="O49" s="28"/>
    </row>
    <row r="50" spans="1:15" s="11" customFormat="1" ht="20.100000000000001" customHeight="1">
      <c r="A50" s="122"/>
      <c r="B50" s="123" t="s">
        <v>11</v>
      </c>
      <c r="C50" s="137">
        <v>0</v>
      </c>
      <c r="D50" s="104"/>
      <c r="E50" s="83">
        <f t="shared" si="13"/>
        <v>0</v>
      </c>
      <c r="F50" s="106"/>
      <c r="G50" s="80">
        <v>13950</v>
      </c>
      <c r="H50" s="83">
        <v>0</v>
      </c>
      <c r="I50" s="83">
        <f>11661.77+2700</f>
        <v>14361.77</v>
      </c>
      <c r="J50" s="83">
        <f t="shared" si="14"/>
        <v>28311.77</v>
      </c>
      <c r="K50" s="84"/>
      <c r="L50" s="83">
        <f t="shared" si="12"/>
        <v>-28311.77</v>
      </c>
      <c r="N50" s="48"/>
      <c r="O50" s="28"/>
    </row>
    <row r="51" spans="1:15" s="11" customFormat="1" ht="20.100000000000001" customHeight="1">
      <c r="A51" s="122"/>
      <c r="B51" s="123" t="s">
        <v>7</v>
      </c>
      <c r="C51" s="137">
        <f>635697.5+10236.04</f>
        <v>645933.54</v>
      </c>
      <c r="D51" s="104">
        <v>-50000</v>
      </c>
      <c r="E51" s="83">
        <f t="shared" si="13"/>
        <v>595933.54</v>
      </c>
      <c r="F51" s="106"/>
      <c r="G51" s="80">
        <f>55216.34+2036.6</f>
        <v>57252.939999999995</v>
      </c>
      <c r="H51" s="83">
        <v>0</v>
      </c>
      <c r="I51" s="83">
        <f>236422.56+39932.33</f>
        <v>276354.89</v>
      </c>
      <c r="J51" s="83">
        <f t="shared" si="14"/>
        <v>333607.83</v>
      </c>
      <c r="K51" s="84"/>
      <c r="L51" s="83">
        <f t="shared" si="12"/>
        <v>262325.71000000002</v>
      </c>
      <c r="N51" s="48"/>
      <c r="O51" s="28"/>
    </row>
    <row r="52" spans="1:15" s="11" customFormat="1" ht="20.100000000000001" customHeight="1">
      <c r="A52" s="122"/>
      <c r="B52" s="123" t="s">
        <v>6</v>
      </c>
      <c r="C52" s="137">
        <v>0</v>
      </c>
      <c r="D52" s="104"/>
      <c r="E52" s="83">
        <f t="shared" si="13"/>
        <v>0</v>
      </c>
      <c r="F52" s="106"/>
      <c r="G52" s="86">
        <v>0</v>
      </c>
      <c r="H52" s="83">
        <v>0</v>
      </c>
      <c r="I52" s="83">
        <f>I50*0.2</f>
        <v>2872.3540000000003</v>
      </c>
      <c r="J52" s="83">
        <f t="shared" si="14"/>
        <v>2872.3540000000003</v>
      </c>
      <c r="K52" s="84"/>
      <c r="L52" s="83">
        <f t="shared" si="12"/>
        <v>-2872.3540000000003</v>
      </c>
      <c r="N52" s="48"/>
      <c r="O52" s="28"/>
    </row>
    <row r="53" spans="1:15" s="11" customFormat="1" ht="20.100000000000001" customHeight="1">
      <c r="A53" s="122"/>
      <c r="B53" s="123" t="s">
        <v>12</v>
      </c>
      <c r="C53" s="137">
        <v>0</v>
      </c>
      <c r="D53" s="104"/>
      <c r="E53" s="83">
        <f t="shared" si="13"/>
        <v>0</v>
      </c>
      <c r="F53" s="106"/>
      <c r="G53" s="86">
        <v>0</v>
      </c>
      <c r="H53" s="83">
        <v>0</v>
      </c>
      <c r="I53" s="83">
        <v>0</v>
      </c>
      <c r="J53" s="83">
        <f t="shared" si="14"/>
        <v>0</v>
      </c>
      <c r="K53" s="84"/>
      <c r="L53" s="83">
        <f t="shared" si="12"/>
        <v>0</v>
      </c>
      <c r="N53" s="48"/>
      <c r="O53" s="28"/>
    </row>
    <row r="54" spans="1:15" s="11" customFormat="1" ht="20.100000000000001" customHeight="1">
      <c r="A54" s="122"/>
      <c r="B54" s="123" t="s">
        <v>13</v>
      </c>
      <c r="C54" s="137">
        <v>504900</v>
      </c>
      <c r="D54" s="104"/>
      <c r="E54" s="83">
        <f t="shared" si="13"/>
        <v>504900</v>
      </c>
      <c r="F54" s="106"/>
      <c r="G54" s="86">
        <v>0</v>
      </c>
      <c r="H54" s="85">
        <v>135400</v>
      </c>
      <c r="I54" s="83">
        <v>0</v>
      </c>
      <c r="J54" s="83">
        <f t="shared" si="14"/>
        <v>135400</v>
      </c>
      <c r="K54" s="84"/>
      <c r="L54" s="83">
        <f t="shared" si="12"/>
        <v>369500</v>
      </c>
      <c r="N54" s="48"/>
      <c r="O54" s="28"/>
    </row>
    <row r="55" spans="1:15" s="11" customFormat="1" ht="20.100000000000001" customHeight="1">
      <c r="A55" s="122"/>
      <c r="B55" s="123" t="s">
        <v>73</v>
      </c>
      <c r="C55" s="137"/>
      <c r="D55" s="104"/>
      <c r="E55" s="83">
        <v>0</v>
      </c>
      <c r="F55" s="106"/>
      <c r="G55" s="80">
        <v>2097.2399999999998</v>
      </c>
      <c r="H55" s="83">
        <v>0</v>
      </c>
      <c r="I55" s="83">
        <v>0</v>
      </c>
      <c r="J55" s="83">
        <f t="shared" si="14"/>
        <v>2097.2399999999998</v>
      </c>
      <c r="K55" s="84"/>
      <c r="L55" s="83">
        <f t="shared" si="12"/>
        <v>-2097.2399999999998</v>
      </c>
      <c r="N55" s="49"/>
      <c r="O55" s="29"/>
    </row>
    <row r="56" spans="1:15" s="11" customFormat="1" ht="20.100000000000001" customHeight="1">
      <c r="A56" s="138" t="s">
        <v>74</v>
      </c>
      <c r="B56" s="102"/>
      <c r="C56" s="137"/>
      <c r="D56" s="104"/>
      <c r="E56" s="83"/>
      <c r="F56" s="106"/>
      <c r="G56" s="80"/>
      <c r="H56" s="83"/>
      <c r="I56" s="83"/>
      <c r="J56" s="83"/>
      <c r="K56" s="84"/>
      <c r="L56" s="83"/>
      <c r="N56" s="38"/>
      <c r="O56" s="20"/>
    </row>
    <row r="57" spans="1:15" s="11" customFormat="1" ht="20.100000000000001" customHeight="1">
      <c r="A57" s="138"/>
      <c r="B57" s="102"/>
      <c r="C57" s="103"/>
      <c r="D57" s="104"/>
      <c r="E57" s="83"/>
      <c r="F57" s="106"/>
      <c r="G57" s="86"/>
      <c r="H57" s="83"/>
      <c r="I57" s="139"/>
      <c r="J57" s="83"/>
      <c r="K57" s="84"/>
      <c r="L57" s="83"/>
      <c r="N57" s="39"/>
    </row>
    <row r="58" spans="1:15" s="11" customFormat="1" ht="20.100000000000001" customHeight="1">
      <c r="A58" s="107"/>
      <c r="B58" s="108" t="s">
        <v>29</v>
      </c>
      <c r="C58" s="125">
        <f>C59</f>
        <v>500000</v>
      </c>
      <c r="D58" s="104"/>
      <c r="E58" s="114">
        <f>E59</f>
        <v>500000</v>
      </c>
      <c r="F58" s="106"/>
      <c r="G58" s="113">
        <f>G59</f>
        <v>126928.58</v>
      </c>
      <c r="H58" s="114">
        <f>H59</f>
        <v>106400</v>
      </c>
      <c r="I58" s="114">
        <f>I59</f>
        <v>33655.810000000005</v>
      </c>
      <c r="J58" s="114">
        <f>SUM(G58:I58)</f>
        <v>266984.39</v>
      </c>
      <c r="K58" s="84"/>
      <c r="L58" s="114">
        <f>E58-J58</f>
        <v>233015.61</v>
      </c>
      <c r="N58" s="50" t="s">
        <v>83</v>
      </c>
      <c r="O58" s="12"/>
    </row>
    <row r="59" spans="1:15" s="11" customFormat="1" ht="20.100000000000001" customHeight="1">
      <c r="A59" s="115">
        <v>6927</v>
      </c>
      <c r="B59" s="126" t="s">
        <v>30</v>
      </c>
      <c r="C59" s="127">
        <f>SUM(C60:C67)</f>
        <v>500000</v>
      </c>
      <c r="D59" s="104"/>
      <c r="E59" s="134">
        <f>SUM(E60:E67)</f>
        <v>500000</v>
      </c>
      <c r="F59" s="112"/>
      <c r="G59" s="130">
        <f>SUM(G60:G67)</f>
        <v>126928.58</v>
      </c>
      <c r="H59" s="131">
        <f>SUM(H60:H67)</f>
        <v>106400</v>
      </c>
      <c r="I59" s="131">
        <f>SUM(I60:I67)</f>
        <v>33655.810000000005</v>
      </c>
      <c r="J59" s="131">
        <f>SUM(J60:J67)</f>
        <v>266984.39</v>
      </c>
      <c r="K59" s="84"/>
      <c r="L59" s="131">
        <f>SUM(L60:L67)</f>
        <v>233015.61</v>
      </c>
      <c r="N59" s="51"/>
      <c r="O59" s="30"/>
    </row>
    <row r="60" spans="1:15" s="11" customFormat="1" ht="20.100000000000001" customHeight="1">
      <c r="A60" s="122"/>
      <c r="B60" s="123" t="s">
        <v>8</v>
      </c>
      <c r="C60" s="137">
        <v>100000</v>
      </c>
      <c r="D60" s="104"/>
      <c r="E60" s="83">
        <f t="shared" ref="E60:E67" si="15">C60-D60</f>
        <v>100000</v>
      </c>
      <c r="F60" s="129"/>
      <c r="G60" s="80">
        <v>41313.9</v>
      </c>
      <c r="H60" s="83">
        <v>0</v>
      </c>
      <c r="I60" s="83">
        <v>8634.0400000000009</v>
      </c>
      <c r="J60" s="83">
        <f>SUM(G60:I60)</f>
        <v>49947.94</v>
      </c>
      <c r="K60" s="84"/>
      <c r="L60" s="83">
        <f t="shared" ref="L60:L67" si="16">E60-J60</f>
        <v>50052.06</v>
      </c>
      <c r="N60" s="51"/>
      <c r="O60" s="31"/>
    </row>
    <row r="61" spans="1:15" s="11" customFormat="1" ht="20.100000000000001" customHeight="1">
      <c r="A61" s="122"/>
      <c r="B61" s="123" t="s">
        <v>9</v>
      </c>
      <c r="C61" s="137">
        <v>70000</v>
      </c>
      <c r="D61" s="104"/>
      <c r="E61" s="83">
        <f t="shared" si="15"/>
        <v>70000</v>
      </c>
      <c r="F61" s="106"/>
      <c r="G61" s="83">
        <v>0</v>
      </c>
      <c r="H61" s="83">
        <v>0</v>
      </c>
      <c r="I61" s="83">
        <v>0</v>
      </c>
      <c r="J61" s="83">
        <f t="shared" ref="J61:J67" si="17">SUM(G61:I61)</f>
        <v>0</v>
      </c>
      <c r="K61" s="84"/>
      <c r="L61" s="83">
        <f t="shared" si="16"/>
        <v>70000</v>
      </c>
      <c r="N61" s="51"/>
      <c r="O61" s="31"/>
    </row>
    <row r="62" spans="1:15" s="11" customFormat="1" ht="20.100000000000001" customHeight="1">
      <c r="A62" s="122"/>
      <c r="B62" s="123" t="s">
        <v>10</v>
      </c>
      <c r="C62" s="137">
        <v>88000</v>
      </c>
      <c r="D62" s="104"/>
      <c r="E62" s="83">
        <f t="shared" si="15"/>
        <v>88000</v>
      </c>
      <c r="F62" s="106"/>
      <c r="G62" s="80">
        <v>34169.49</v>
      </c>
      <c r="H62" s="83">
        <v>0</v>
      </c>
      <c r="I62" s="83">
        <v>22477.65</v>
      </c>
      <c r="J62" s="83">
        <f t="shared" si="17"/>
        <v>56647.14</v>
      </c>
      <c r="K62" s="84"/>
      <c r="L62" s="83">
        <f t="shared" si="16"/>
        <v>31352.86</v>
      </c>
      <c r="N62" s="51"/>
      <c r="O62" s="31"/>
    </row>
    <row r="63" spans="1:15" s="11" customFormat="1" ht="20.100000000000001" customHeight="1">
      <c r="A63" s="122"/>
      <c r="B63" s="123" t="s">
        <v>11</v>
      </c>
      <c r="C63" s="137">
        <v>0</v>
      </c>
      <c r="D63" s="104"/>
      <c r="E63" s="83">
        <f t="shared" si="15"/>
        <v>0</v>
      </c>
      <c r="F63" s="106"/>
      <c r="G63" s="80">
        <v>3350</v>
      </c>
      <c r="H63" s="83">
        <v>0</v>
      </c>
      <c r="I63" s="83">
        <v>0</v>
      </c>
      <c r="J63" s="83">
        <f t="shared" si="17"/>
        <v>3350</v>
      </c>
      <c r="K63" s="84"/>
      <c r="L63" s="83">
        <f t="shared" si="16"/>
        <v>-3350</v>
      </c>
      <c r="N63" s="51"/>
      <c r="O63" s="31"/>
    </row>
    <row r="64" spans="1:15" s="11" customFormat="1" ht="20.100000000000001" customHeight="1">
      <c r="A64" s="122"/>
      <c r="B64" s="123" t="s">
        <v>7</v>
      </c>
      <c r="C64" s="137">
        <v>40000</v>
      </c>
      <c r="D64" s="104"/>
      <c r="E64" s="83">
        <f t="shared" si="15"/>
        <v>40000</v>
      </c>
      <c r="F64" s="106"/>
      <c r="G64" s="80">
        <v>28158.44</v>
      </c>
      <c r="H64" s="83">
        <v>0</v>
      </c>
      <c r="I64" s="83">
        <v>2544.12</v>
      </c>
      <c r="J64" s="83">
        <f t="shared" si="17"/>
        <v>30702.559999999998</v>
      </c>
      <c r="K64" s="84"/>
      <c r="L64" s="83">
        <f t="shared" si="16"/>
        <v>9297.4400000000023</v>
      </c>
      <c r="N64" s="51"/>
      <c r="O64" s="31"/>
    </row>
    <row r="65" spans="1:15" s="11" customFormat="1" ht="20.100000000000001" customHeight="1">
      <c r="A65" s="122"/>
      <c r="B65" s="123" t="s">
        <v>6</v>
      </c>
      <c r="C65" s="137">
        <v>0</v>
      </c>
      <c r="D65" s="104"/>
      <c r="E65" s="83">
        <f t="shared" si="15"/>
        <v>0</v>
      </c>
      <c r="F65" s="106"/>
      <c r="G65" s="82">
        <v>670</v>
      </c>
      <c r="H65" s="83">
        <v>0</v>
      </c>
      <c r="I65" s="83">
        <v>0</v>
      </c>
      <c r="J65" s="83">
        <f t="shared" si="17"/>
        <v>670</v>
      </c>
      <c r="K65" s="84"/>
      <c r="L65" s="83">
        <f t="shared" si="16"/>
        <v>-670</v>
      </c>
      <c r="N65" s="51"/>
      <c r="O65" s="31"/>
    </row>
    <row r="66" spans="1:15" s="11" customFormat="1" ht="20.100000000000001" customHeight="1">
      <c r="A66" s="122"/>
      <c r="B66" s="123" t="s">
        <v>12</v>
      </c>
      <c r="C66" s="137">
        <v>0</v>
      </c>
      <c r="D66" s="104"/>
      <c r="E66" s="83">
        <f t="shared" si="15"/>
        <v>0</v>
      </c>
      <c r="F66" s="106"/>
      <c r="G66" s="80">
        <v>16986.75</v>
      </c>
      <c r="H66" s="83">
        <v>0</v>
      </c>
      <c r="I66" s="83">
        <v>0</v>
      </c>
      <c r="J66" s="83">
        <f t="shared" si="17"/>
        <v>16986.75</v>
      </c>
      <c r="K66" s="84"/>
      <c r="L66" s="83">
        <f t="shared" si="16"/>
        <v>-16986.75</v>
      </c>
      <c r="N66" s="51"/>
      <c r="O66" s="31"/>
    </row>
    <row r="67" spans="1:15" s="11" customFormat="1" ht="20.100000000000001" customHeight="1">
      <c r="A67" s="122"/>
      <c r="B67" s="123" t="s">
        <v>13</v>
      </c>
      <c r="C67" s="137">
        <v>202000</v>
      </c>
      <c r="D67" s="104"/>
      <c r="E67" s="83">
        <f t="shared" si="15"/>
        <v>202000</v>
      </c>
      <c r="F67" s="106"/>
      <c r="G67" s="80">
        <v>2280</v>
      </c>
      <c r="H67" s="85">
        <v>106400</v>
      </c>
      <c r="I67" s="83">
        <v>0</v>
      </c>
      <c r="J67" s="83">
        <f t="shared" si="17"/>
        <v>108680</v>
      </c>
      <c r="K67" s="84"/>
      <c r="L67" s="83">
        <f t="shared" si="16"/>
        <v>93320</v>
      </c>
      <c r="N67" s="52"/>
      <c r="O67" s="32"/>
    </row>
    <row r="68" spans="1:15" s="11" customFormat="1" ht="20.100000000000001" customHeight="1">
      <c r="A68" s="101"/>
      <c r="B68" s="102"/>
      <c r="C68" s="103"/>
      <c r="D68" s="140"/>
      <c r="E68" s="83"/>
      <c r="F68" s="106"/>
      <c r="G68" s="86"/>
      <c r="H68" s="83"/>
      <c r="I68" s="83"/>
      <c r="J68" s="83"/>
      <c r="K68" s="84"/>
      <c r="L68" s="83"/>
      <c r="N68" s="39"/>
    </row>
    <row r="69" spans="1:15" s="11" customFormat="1" ht="24" customHeight="1">
      <c r="A69" s="107"/>
      <c r="B69" s="108" t="s">
        <v>31</v>
      </c>
      <c r="C69" s="125">
        <f>C70</f>
        <v>203000</v>
      </c>
      <c r="D69" s="110">
        <f>SUM(D71:D77)</f>
        <v>-50000</v>
      </c>
      <c r="E69" s="114">
        <f>E70</f>
        <v>153000</v>
      </c>
      <c r="F69" s="106"/>
      <c r="G69" s="113">
        <f>G70</f>
        <v>3019.31</v>
      </c>
      <c r="H69" s="114">
        <f>H70</f>
        <v>0</v>
      </c>
      <c r="I69" s="114">
        <f>I70</f>
        <v>4158.07</v>
      </c>
      <c r="J69" s="114">
        <f>SUM(G69:I69)</f>
        <v>7177.3799999999992</v>
      </c>
      <c r="K69" s="84"/>
      <c r="L69" s="114">
        <f t="shared" ref="L69:L77" si="18">E69-J69</f>
        <v>145822.62</v>
      </c>
      <c r="N69" s="47" t="s">
        <v>99</v>
      </c>
      <c r="O69" s="33"/>
    </row>
    <row r="70" spans="1:15" s="11" customFormat="1" ht="26.25" customHeight="1">
      <c r="A70" s="115">
        <v>7864</v>
      </c>
      <c r="B70" s="116" t="s">
        <v>32</v>
      </c>
      <c r="C70" s="127">
        <f>SUM(C71:C77)</f>
        <v>203000</v>
      </c>
      <c r="D70" s="118"/>
      <c r="E70" s="131">
        <f>SUM(E71:E77)</f>
        <v>153000</v>
      </c>
      <c r="F70" s="112"/>
      <c r="G70" s="133">
        <f>SUM(G71:G75)</f>
        <v>3019.31</v>
      </c>
      <c r="H70" s="134">
        <f>SUM(H71:H75)</f>
        <v>0</v>
      </c>
      <c r="I70" s="134">
        <f>SUM(I71:I75)</f>
        <v>4158.07</v>
      </c>
      <c r="J70" s="134">
        <f>SUM(J71:J75)</f>
        <v>7177.38</v>
      </c>
      <c r="K70" s="84"/>
      <c r="L70" s="134">
        <f t="shared" si="18"/>
        <v>145822.62</v>
      </c>
      <c r="N70" s="48"/>
      <c r="O70" s="34"/>
    </row>
    <row r="71" spans="1:15" s="11" customFormat="1" ht="20.100000000000001" customHeight="1">
      <c r="A71" s="122"/>
      <c r="B71" s="123" t="s">
        <v>8</v>
      </c>
      <c r="C71" s="137">
        <v>0</v>
      </c>
      <c r="D71" s="104"/>
      <c r="E71" s="83">
        <f>C71+D71</f>
        <v>0</v>
      </c>
      <c r="F71" s="129"/>
      <c r="G71" s="80">
        <v>310.5</v>
      </c>
      <c r="H71" s="83">
        <v>0</v>
      </c>
      <c r="I71" s="83">
        <v>57.5</v>
      </c>
      <c r="J71" s="83">
        <f>SUM(G71:I71)</f>
        <v>368</v>
      </c>
      <c r="K71" s="84"/>
      <c r="L71" s="83">
        <f t="shared" si="18"/>
        <v>-368</v>
      </c>
      <c r="N71" s="48"/>
      <c r="O71" s="34"/>
    </row>
    <row r="72" spans="1:15" s="11" customFormat="1" ht="20.100000000000001" customHeight="1">
      <c r="A72" s="122"/>
      <c r="B72" s="123" t="s">
        <v>9</v>
      </c>
      <c r="C72" s="137">
        <v>0</v>
      </c>
      <c r="D72" s="104"/>
      <c r="E72" s="83">
        <f t="shared" ref="E72:E77" si="19">C72+D72</f>
        <v>0</v>
      </c>
      <c r="F72" s="106"/>
      <c r="G72" s="83">
        <v>0</v>
      </c>
      <c r="H72" s="83">
        <v>0</v>
      </c>
      <c r="I72" s="83">
        <v>0</v>
      </c>
      <c r="J72" s="83">
        <f t="shared" ref="J72:J77" si="20">SUM(G72:I72)</f>
        <v>0</v>
      </c>
      <c r="K72" s="84"/>
      <c r="L72" s="83">
        <f t="shared" si="18"/>
        <v>0</v>
      </c>
      <c r="N72" s="48"/>
      <c r="O72" s="34"/>
    </row>
    <row r="73" spans="1:15" s="11" customFormat="1" ht="20.100000000000001" customHeight="1">
      <c r="A73" s="122"/>
      <c r="B73" s="123" t="s">
        <v>10</v>
      </c>
      <c r="C73" s="137">
        <v>0</v>
      </c>
      <c r="D73" s="104"/>
      <c r="E73" s="83">
        <f t="shared" si="19"/>
        <v>0</v>
      </c>
      <c r="F73" s="106"/>
      <c r="G73" s="80">
        <v>2674.32</v>
      </c>
      <c r="H73" s="83">
        <v>0</v>
      </c>
      <c r="I73" s="83">
        <v>980.57</v>
      </c>
      <c r="J73" s="83">
        <f t="shared" si="20"/>
        <v>3654.8900000000003</v>
      </c>
      <c r="K73" s="84"/>
      <c r="L73" s="83">
        <f t="shared" si="18"/>
        <v>-3654.8900000000003</v>
      </c>
      <c r="N73" s="48"/>
      <c r="O73" s="34"/>
    </row>
    <row r="74" spans="1:15" s="11" customFormat="1" ht="20.100000000000001" customHeight="1">
      <c r="A74" s="122"/>
      <c r="B74" s="123" t="s">
        <v>11</v>
      </c>
      <c r="C74" s="137">
        <v>0</v>
      </c>
      <c r="D74" s="104"/>
      <c r="E74" s="83">
        <f t="shared" si="19"/>
        <v>0</v>
      </c>
      <c r="F74" s="106"/>
      <c r="G74" s="83">
        <v>0</v>
      </c>
      <c r="H74" s="83">
        <v>0</v>
      </c>
      <c r="I74" s="83">
        <v>0</v>
      </c>
      <c r="J74" s="83">
        <f t="shared" si="20"/>
        <v>0</v>
      </c>
      <c r="K74" s="84"/>
      <c r="L74" s="83">
        <f t="shared" si="18"/>
        <v>0</v>
      </c>
      <c r="N74" s="48"/>
      <c r="O74" s="34"/>
    </row>
    <row r="75" spans="1:15" s="11" customFormat="1" ht="20.100000000000001" customHeight="1">
      <c r="A75" s="122"/>
      <c r="B75" s="123" t="s">
        <v>7</v>
      </c>
      <c r="C75" s="137">
        <v>203000</v>
      </c>
      <c r="D75" s="104">
        <v>-50000</v>
      </c>
      <c r="E75" s="83">
        <f t="shared" si="19"/>
        <v>153000</v>
      </c>
      <c r="F75" s="106"/>
      <c r="G75" s="80">
        <v>34.49</v>
      </c>
      <c r="H75" s="83">
        <v>0</v>
      </c>
      <c r="I75" s="83">
        <v>3120</v>
      </c>
      <c r="J75" s="83">
        <f t="shared" si="20"/>
        <v>3154.49</v>
      </c>
      <c r="K75" s="84"/>
      <c r="L75" s="83">
        <f t="shared" si="18"/>
        <v>149845.51</v>
      </c>
      <c r="N75" s="48"/>
      <c r="O75" s="34"/>
    </row>
    <row r="76" spans="1:15" s="11" customFormat="1" ht="20.100000000000001" customHeight="1">
      <c r="A76" s="122"/>
      <c r="B76" s="123" t="s">
        <v>6</v>
      </c>
      <c r="C76" s="137">
        <v>0</v>
      </c>
      <c r="D76" s="104"/>
      <c r="E76" s="83">
        <f t="shared" si="19"/>
        <v>0</v>
      </c>
      <c r="F76" s="106"/>
      <c r="G76" s="83">
        <v>0</v>
      </c>
      <c r="H76" s="83">
        <v>0</v>
      </c>
      <c r="I76" s="83">
        <v>0</v>
      </c>
      <c r="J76" s="83">
        <f t="shared" si="20"/>
        <v>0</v>
      </c>
      <c r="K76" s="84"/>
      <c r="L76" s="83">
        <f t="shared" si="18"/>
        <v>0</v>
      </c>
      <c r="N76" s="48"/>
      <c r="O76" s="34"/>
    </row>
    <row r="77" spans="1:15" s="11" customFormat="1" ht="20.100000000000001" customHeight="1">
      <c r="A77" s="122"/>
      <c r="B77" s="123" t="s">
        <v>12</v>
      </c>
      <c r="C77" s="137">
        <v>0</v>
      </c>
      <c r="D77" s="104"/>
      <c r="E77" s="83">
        <f t="shared" si="19"/>
        <v>0</v>
      </c>
      <c r="F77" s="112"/>
      <c r="G77" s="83">
        <v>0</v>
      </c>
      <c r="H77" s="83">
        <v>0</v>
      </c>
      <c r="I77" s="83">
        <v>0</v>
      </c>
      <c r="J77" s="83">
        <f t="shared" si="20"/>
        <v>0</v>
      </c>
      <c r="K77" s="84"/>
      <c r="L77" s="83">
        <f t="shared" si="18"/>
        <v>0</v>
      </c>
      <c r="N77" s="49"/>
      <c r="O77" s="35"/>
    </row>
    <row r="78" spans="1:15" ht="79.5" customHeight="1"/>
    <row r="79" spans="1:15" s="11" customFormat="1" ht="20.100000000000001" customHeight="1">
      <c r="A79" s="107"/>
      <c r="B79" s="108" t="s">
        <v>33</v>
      </c>
      <c r="C79" s="125">
        <f>C80+C85</f>
        <v>740454.08</v>
      </c>
      <c r="D79" s="104"/>
      <c r="E79" s="147">
        <f>E80+E85</f>
        <v>1040454.08</v>
      </c>
      <c r="F79" s="145"/>
      <c r="G79" s="113">
        <f>G80+G85</f>
        <v>327819.03000000003</v>
      </c>
      <c r="H79" s="113">
        <f t="shared" ref="H79:J79" si="21">H80+H85</f>
        <v>230563.8</v>
      </c>
      <c r="I79" s="113">
        <f t="shared" si="21"/>
        <v>124973.38000000002</v>
      </c>
      <c r="J79" s="113">
        <f t="shared" si="21"/>
        <v>683356.21</v>
      </c>
      <c r="K79" s="84"/>
      <c r="L79" s="114">
        <f>E79-J79</f>
        <v>357097.87</v>
      </c>
      <c r="N79" s="44" t="s">
        <v>78</v>
      </c>
    </row>
    <row r="80" spans="1:15" s="11" customFormat="1" ht="20.100000000000001" customHeight="1">
      <c r="A80" s="115">
        <v>6913</v>
      </c>
      <c r="B80" s="126" t="s">
        <v>34</v>
      </c>
      <c r="C80" s="148">
        <f>SUM(C81:C83)</f>
        <v>100000</v>
      </c>
      <c r="D80" s="104"/>
      <c r="E80" s="134">
        <f t="shared" ref="E80:E84" si="22">C80-D80</f>
        <v>100000</v>
      </c>
      <c r="F80" s="145"/>
      <c r="G80" s="121">
        <f>SUM(G81:G84)</f>
        <v>51031.95</v>
      </c>
      <c r="H80" s="121">
        <f t="shared" ref="H80:J80" si="23">SUM(H81:H84)</f>
        <v>0</v>
      </c>
      <c r="I80" s="121">
        <f t="shared" si="23"/>
        <v>19559</v>
      </c>
      <c r="J80" s="121">
        <f t="shared" si="23"/>
        <v>70590.95</v>
      </c>
      <c r="K80" s="84"/>
      <c r="L80" s="117">
        <f>E80-J80</f>
        <v>29409.050000000003</v>
      </c>
      <c r="N80" s="45"/>
      <c r="O80" s="21"/>
    </row>
    <row r="81" spans="1:15" s="11" customFormat="1" ht="20.100000000000001" customHeight="1">
      <c r="A81" s="122"/>
      <c r="B81" s="123" t="s">
        <v>9</v>
      </c>
      <c r="C81" s="149">
        <v>0</v>
      </c>
      <c r="D81" s="104"/>
      <c r="E81" s="83">
        <f t="shared" si="22"/>
        <v>0</v>
      </c>
      <c r="F81" s="145"/>
      <c r="G81" s="83">
        <v>0</v>
      </c>
      <c r="H81" s="83">
        <v>0</v>
      </c>
      <c r="I81" s="83">
        <v>3719</v>
      </c>
      <c r="J81" s="83">
        <f>SUM(G81:I81)</f>
        <v>3719</v>
      </c>
      <c r="K81" s="84"/>
      <c r="L81" s="83">
        <f>E81-J81</f>
        <v>-3719</v>
      </c>
      <c r="N81" s="45"/>
      <c r="O81" s="22"/>
    </row>
    <row r="82" spans="1:15" s="11" customFormat="1" ht="20.100000000000001" customHeight="1">
      <c r="A82" s="122"/>
      <c r="B82" s="123" t="s">
        <v>7</v>
      </c>
      <c r="C82" s="149">
        <v>0</v>
      </c>
      <c r="D82" s="104"/>
      <c r="E82" s="83">
        <f t="shared" si="22"/>
        <v>0</v>
      </c>
      <c r="F82" s="145"/>
      <c r="G82" s="83">
        <v>0</v>
      </c>
      <c r="H82" s="83">
        <v>0</v>
      </c>
      <c r="I82" s="83">
        <v>0</v>
      </c>
      <c r="J82" s="83">
        <f t="shared" ref="J82:J83" si="24">SUM(G82:I82)</f>
        <v>0</v>
      </c>
      <c r="K82" s="84"/>
      <c r="L82" s="83">
        <f t="shared" ref="L82:L83" si="25">E82-J82</f>
        <v>0</v>
      </c>
      <c r="N82" s="45"/>
      <c r="O82" s="22"/>
    </row>
    <row r="83" spans="1:15" s="11" customFormat="1" ht="20.100000000000001" customHeight="1">
      <c r="A83" s="122"/>
      <c r="B83" s="123" t="s">
        <v>12</v>
      </c>
      <c r="C83" s="149">
        <v>100000</v>
      </c>
      <c r="D83" s="104"/>
      <c r="E83" s="83">
        <f t="shared" si="22"/>
        <v>100000</v>
      </c>
      <c r="F83" s="145"/>
      <c r="G83" s="80">
        <v>51031.95</v>
      </c>
      <c r="H83" s="83">
        <v>0</v>
      </c>
      <c r="I83" s="83">
        <v>15840</v>
      </c>
      <c r="J83" s="83">
        <f t="shared" si="24"/>
        <v>66871.95</v>
      </c>
      <c r="K83" s="84"/>
      <c r="L83" s="83">
        <f t="shared" si="25"/>
        <v>33128.050000000003</v>
      </c>
      <c r="N83" s="46"/>
      <c r="O83" s="23"/>
    </row>
    <row r="84" spans="1:15" s="11" customFormat="1" ht="20.100000000000001" customHeight="1">
      <c r="A84" s="122"/>
      <c r="B84" s="123"/>
      <c r="C84" s="149"/>
      <c r="D84" s="104"/>
      <c r="E84" s="83">
        <f t="shared" si="22"/>
        <v>0</v>
      </c>
      <c r="F84" s="145"/>
      <c r="G84" s="86"/>
      <c r="H84" s="83"/>
      <c r="I84" s="83"/>
      <c r="J84" s="83"/>
      <c r="K84" s="84"/>
      <c r="L84" s="83"/>
      <c r="N84" s="40"/>
      <c r="O84" s="18"/>
    </row>
    <row r="85" spans="1:15" s="11" customFormat="1" ht="20.100000000000001" customHeight="1">
      <c r="A85" s="115">
        <v>6908</v>
      </c>
      <c r="B85" s="126" t="s">
        <v>35</v>
      </c>
      <c r="C85" s="148">
        <f>SUM(C86:C93)</f>
        <v>640454.07999999996</v>
      </c>
      <c r="D85" s="150">
        <f>SUM(D86:D94)</f>
        <v>300000</v>
      </c>
      <c r="E85" s="151">
        <f>C85+D85</f>
        <v>940454.08</v>
      </c>
      <c r="F85" s="145"/>
      <c r="G85" s="121">
        <f>SUM(G86:G93)</f>
        <v>276787.08</v>
      </c>
      <c r="H85" s="121">
        <f>SUM(H86:H93)</f>
        <v>230563.8</v>
      </c>
      <c r="I85" s="121">
        <f>SUM(I86:I93)</f>
        <v>105414.38000000002</v>
      </c>
      <c r="J85" s="121">
        <f>SUM(G85:I85)</f>
        <v>612765.26</v>
      </c>
      <c r="K85" s="84"/>
      <c r="L85" s="117">
        <f>E85-J85</f>
        <v>327688.81999999995</v>
      </c>
      <c r="N85" s="44" t="s">
        <v>79</v>
      </c>
      <c r="O85" s="21"/>
    </row>
    <row r="86" spans="1:15" s="11" customFormat="1" ht="20.100000000000001" customHeight="1">
      <c r="A86" s="122"/>
      <c r="B86" s="123" t="s">
        <v>8</v>
      </c>
      <c r="C86" s="149">
        <v>45000</v>
      </c>
      <c r="D86" s="104"/>
      <c r="E86" s="83">
        <f>C86+D86</f>
        <v>45000</v>
      </c>
      <c r="F86" s="145"/>
      <c r="G86" s="80">
        <f>14472.2+1071.8</f>
        <v>15544</v>
      </c>
      <c r="H86" s="83">
        <v>0</v>
      </c>
      <c r="I86" s="83">
        <v>2872</v>
      </c>
      <c r="J86" s="83">
        <f>SUM(G86:I86)</f>
        <v>18416</v>
      </c>
      <c r="K86" s="84"/>
      <c r="L86" s="83">
        <f>E86-J86</f>
        <v>26584</v>
      </c>
      <c r="N86" s="45"/>
      <c r="O86" s="22"/>
    </row>
    <row r="87" spans="1:15" s="11" customFormat="1" ht="20.100000000000001" customHeight="1">
      <c r="A87" s="122"/>
      <c r="B87" s="123" t="s">
        <v>13</v>
      </c>
      <c r="C87" s="149">
        <v>250000</v>
      </c>
      <c r="D87" s="104"/>
      <c r="E87" s="83">
        <f t="shared" ref="E87:E93" si="26">C87+D87</f>
        <v>250000</v>
      </c>
      <c r="F87" s="145"/>
      <c r="G87" s="80">
        <v>10660</v>
      </c>
      <c r="H87" s="85">
        <v>222325</v>
      </c>
      <c r="I87" s="83">
        <v>0</v>
      </c>
      <c r="J87" s="83">
        <f t="shared" ref="J87:J93" si="27">SUM(G87:I87)</f>
        <v>232985</v>
      </c>
      <c r="K87" s="84"/>
      <c r="L87" s="83">
        <f t="shared" ref="L87:L93" si="28">E87-J87</f>
        <v>17015</v>
      </c>
      <c r="N87" s="45"/>
      <c r="O87" s="22"/>
    </row>
    <row r="88" spans="1:15" s="11" customFormat="1" ht="20.100000000000001" customHeight="1">
      <c r="A88" s="122"/>
      <c r="B88" s="123" t="s">
        <v>9</v>
      </c>
      <c r="C88" s="152">
        <v>50000</v>
      </c>
      <c r="D88" s="104">
        <v>255000</v>
      </c>
      <c r="E88" s="83">
        <f t="shared" si="26"/>
        <v>305000</v>
      </c>
      <c r="F88" s="145"/>
      <c r="G88" s="80">
        <v>360.8</v>
      </c>
      <c r="H88" s="83">
        <v>0</v>
      </c>
      <c r="I88" s="83">
        <f>3571.5+15445.66</f>
        <v>19017.16</v>
      </c>
      <c r="J88" s="83">
        <f t="shared" si="27"/>
        <v>19377.96</v>
      </c>
      <c r="K88" s="84"/>
      <c r="L88" s="83">
        <f t="shared" si="28"/>
        <v>285622.03999999998</v>
      </c>
      <c r="N88" s="45"/>
      <c r="O88" s="22"/>
    </row>
    <row r="89" spans="1:15" s="11" customFormat="1" ht="20.100000000000001" customHeight="1">
      <c r="A89" s="122"/>
      <c r="B89" s="123" t="s">
        <v>10</v>
      </c>
      <c r="C89" s="149">
        <v>55000</v>
      </c>
      <c r="D89" s="104">
        <v>45000</v>
      </c>
      <c r="E89" s="83">
        <f t="shared" si="26"/>
        <v>100000</v>
      </c>
      <c r="F89" s="145"/>
      <c r="G89" s="80">
        <v>30237.05</v>
      </c>
      <c r="H89" s="83">
        <v>0</v>
      </c>
      <c r="I89" s="83">
        <v>43835.91</v>
      </c>
      <c r="J89" s="83">
        <f t="shared" si="27"/>
        <v>74072.960000000006</v>
      </c>
      <c r="K89" s="84"/>
      <c r="L89" s="83">
        <f t="shared" si="28"/>
        <v>25927.039999999994</v>
      </c>
      <c r="N89" s="45"/>
      <c r="O89" s="22"/>
    </row>
    <row r="90" spans="1:15" s="11" customFormat="1" ht="20.100000000000001" customHeight="1">
      <c r="A90" s="122"/>
      <c r="B90" s="123" t="s">
        <v>11</v>
      </c>
      <c r="C90" s="149">
        <v>0</v>
      </c>
      <c r="D90" s="104"/>
      <c r="E90" s="83">
        <f t="shared" si="26"/>
        <v>0</v>
      </c>
      <c r="F90" s="145"/>
      <c r="G90" s="80">
        <v>6205</v>
      </c>
      <c r="H90" s="83">
        <v>0</v>
      </c>
      <c r="I90" s="83">
        <v>3300</v>
      </c>
      <c r="J90" s="83">
        <f t="shared" si="27"/>
        <v>9505</v>
      </c>
      <c r="K90" s="84"/>
      <c r="L90" s="83">
        <f t="shared" si="28"/>
        <v>-9505</v>
      </c>
      <c r="N90" s="45"/>
      <c r="O90" s="22"/>
    </row>
    <row r="91" spans="1:15" s="11" customFormat="1" ht="20.100000000000001" customHeight="1">
      <c r="A91" s="122"/>
      <c r="B91" s="153" t="s">
        <v>7</v>
      </c>
      <c r="C91" s="149">
        <v>240454.08</v>
      </c>
      <c r="D91" s="104"/>
      <c r="E91" s="83">
        <f t="shared" si="26"/>
        <v>240454.08</v>
      </c>
      <c r="F91" s="145"/>
      <c r="G91" s="80">
        <f>152317.45+2000</f>
        <v>154317.45000000001</v>
      </c>
      <c r="H91" s="85">
        <v>8238.7999999999993</v>
      </c>
      <c r="I91" s="83">
        <f>225.32+29564</f>
        <v>29789.32</v>
      </c>
      <c r="J91" s="83">
        <f t="shared" si="27"/>
        <v>192345.57</v>
      </c>
      <c r="K91" s="84"/>
      <c r="L91" s="83">
        <f t="shared" si="28"/>
        <v>48108.50999999998</v>
      </c>
      <c r="N91" s="45"/>
      <c r="O91" s="22"/>
    </row>
    <row r="92" spans="1:15" s="11" customFormat="1" ht="20.100000000000001" customHeight="1">
      <c r="A92" s="122"/>
      <c r="B92" s="123" t="s">
        <v>6</v>
      </c>
      <c r="C92" s="149">
        <v>0</v>
      </c>
      <c r="D92" s="104"/>
      <c r="E92" s="83">
        <f t="shared" si="26"/>
        <v>0</v>
      </c>
      <c r="F92" s="145"/>
      <c r="G92" s="86">
        <f>G90*0.2</f>
        <v>1241</v>
      </c>
      <c r="H92" s="83">
        <v>0</v>
      </c>
      <c r="I92" s="83">
        <f>I90*0.2</f>
        <v>660</v>
      </c>
      <c r="J92" s="83">
        <f t="shared" si="27"/>
        <v>1901</v>
      </c>
      <c r="K92" s="84"/>
      <c r="L92" s="83">
        <f t="shared" si="28"/>
        <v>-1901</v>
      </c>
      <c r="N92" s="45"/>
      <c r="O92" s="22"/>
    </row>
    <row r="93" spans="1:15" s="11" customFormat="1" ht="20.100000000000001" customHeight="1">
      <c r="A93" s="122"/>
      <c r="B93" s="123" t="s">
        <v>12</v>
      </c>
      <c r="C93" s="149">
        <v>0</v>
      </c>
      <c r="D93" s="104"/>
      <c r="E93" s="83">
        <f t="shared" si="26"/>
        <v>0</v>
      </c>
      <c r="F93" s="145"/>
      <c r="G93" s="80">
        <v>58221.78</v>
      </c>
      <c r="H93" s="83">
        <v>0</v>
      </c>
      <c r="I93" s="83">
        <v>5939.99</v>
      </c>
      <c r="J93" s="83">
        <f t="shared" si="27"/>
        <v>64161.77</v>
      </c>
      <c r="K93" s="84"/>
      <c r="L93" s="83">
        <f t="shared" si="28"/>
        <v>-64161.77</v>
      </c>
      <c r="N93" s="46"/>
      <c r="O93" s="23"/>
    </row>
    <row r="94" spans="1:15" s="11" customFormat="1" ht="20.100000000000001" customHeight="1">
      <c r="A94" s="138" t="s">
        <v>75</v>
      </c>
      <c r="B94" s="144"/>
      <c r="C94" s="144"/>
      <c r="D94" s="144"/>
      <c r="E94" s="145"/>
      <c r="F94" s="145"/>
      <c r="G94" s="86"/>
      <c r="H94" s="83"/>
      <c r="I94" s="83"/>
      <c r="J94" s="83"/>
      <c r="K94" s="84"/>
      <c r="L94" s="83"/>
      <c r="N94" s="39"/>
    </row>
    <row r="97" spans="1:14" ht="20.100000000000001" customHeight="1">
      <c r="A97" s="107"/>
      <c r="B97" s="108" t="s">
        <v>36</v>
      </c>
      <c r="C97" s="125">
        <f>C98</f>
        <v>4500000</v>
      </c>
      <c r="D97" s="104"/>
      <c r="E97" s="147">
        <f t="shared" ref="E97:E137" si="29">C97-D97</f>
        <v>4500000</v>
      </c>
      <c r="F97" s="145"/>
      <c r="G97" s="113">
        <f>G98</f>
        <v>1905826.38</v>
      </c>
      <c r="H97" s="114">
        <f>H98</f>
        <v>1100031.78</v>
      </c>
      <c r="I97" s="114">
        <f>I98</f>
        <v>103932.63</v>
      </c>
      <c r="J97" s="114">
        <f>SUM(G97:I97)</f>
        <v>3109790.79</v>
      </c>
      <c r="L97" s="114">
        <f>E97-J97</f>
        <v>1390209.21</v>
      </c>
      <c r="M97" s="8"/>
      <c r="N97" s="53" t="s">
        <v>105</v>
      </c>
    </row>
    <row r="98" spans="1:14" ht="20.100000000000001" customHeight="1">
      <c r="A98" s="115">
        <v>2018</v>
      </c>
      <c r="B98" s="116" t="s">
        <v>37</v>
      </c>
      <c r="C98" s="127">
        <f>C99</f>
        <v>4500000</v>
      </c>
      <c r="D98" s="104"/>
      <c r="E98" s="134">
        <f t="shared" si="29"/>
        <v>4500000</v>
      </c>
      <c r="F98" s="145"/>
      <c r="G98" s="121">
        <f>SUM(G99:G100)</f>
        <v>1905826.38</v>
      </c>
      <c r="H98" s="117">
        <f>SUM(H99:H100)</f>
        <v>1100031.78</v>
      </c>
      <c r="I98" s="117">
        <f>SUM(I99:I100)</f>
        <v>103932.63</v>
      </c>
      <c r="J98" s="117">
        <f>SUM(J99:J100)</f>
        <v>3109790.79</v>
      </c>
      <c r="L98" s="117">
        <f>E98-J98</f>
        <v>1390209.21</v>
      </c>
      <c r="M98" s="8"/>
      <c r="N98" s="54"/>
    </row>
    <row r="99" spans="1:14" ht="20.100000000000001" customHeight="1">
      <c r="A99" s="122"/>
      <c r="B99" s="123" t="s">
        <v>7</v>
      </c>
      <c r="C99" s="132">
        <v>4500000</v>
      </c>
      <c r="D99" s="104"/>
      <c r="E99" s="83">
        <f t="shared" si="29"/>
        <v>4500000</v>
      </c>
      <c r="F99" s="145"/>
      <c r="G99" s="82">
        <v>1905826.38</v>
      </c>
      <c r="H99" s="85">
        <v>1100031.78</v>
      </c>
      <c r="I99" s="83">
        <v>103932.63</v>
      </c>
      <c r="J99" s="83">
        <f>SUM(G99:I99)</f>
        <v>3109790.79</v>
      </c>
      <c r="L99" s="83">
        <f>E99-J99</f>
        <v>1390209.21</v>
      </c>
      <c r="M99" s="8"/>
      <c r="N99" s="55"/>
    </row>
    <row r="100" spans="1:14" ht="20.100000000000001" customHeight="1">
      <c r="A100" s="122"/>
      <c r="B100" s="123"/>
      <c r="C100" s="124"/>
      <c r="D100" s="104"/>
      <c r="E100" s="83"/>
      <c r="F100" s="145"/>
      <c r="G100" s="86"/>
      <c r="H100" s="83"/>
      <c r="I100" s="83"/>
      <c r="J100" s="83"/>
      <c r="L100" s="83"/>
      <c r="M100" s="8"/>
      <c r="N100" s="40"/>
    </row>
    <row r="101" spans="1:14" ht="20.100000000000001" customHeight="1">
      <c r="A101" s="107"/>
      <c r="B101" s="108" t="s">
        <v>38</v>
      </c>
      <c r="C101" s="125">
        <f>C102</f>
        <v>26422470.940000001</v>
      </c>
      <c r="D101" s="154">
        <f>SUM(D103:D112)</f>
        <v>-100000</v>
      </c>
      <c r="E101" s="147">
        <f>E102</f>
        <v>26322470.940000001</v>
      </c>
      <c r="F101" s="145"/>
      <c r="G101" s="113">
        <f>G102</f>
        <v>4323621.6500000004</v>
      </c>
      <c r="H101" s="114">
        <f>H102</f>
        <v>5431495.3700000001</v>
      </c>
      <c r="I101" s="114">
        <f>I102</f>
        <v>2101372.0360000003</v>
      </c>
      <c r="J101" s="114">
        <f>SUM(G101:I101)</f>
        <v>11856489.056</v>
      </c>
      <c r="L101" s="114">
        <f>E101-J101</f>
        <v>14465981.884000001</v>
      </c>
      <c r="M101" s="8"/>
      <c r="N101" s="56" t="s">
        <v>85</v>
      </c>
    </row>
    <row r="102" spans="1:14" ht="20.100000000000001" customHeight="1">
      <c r="A102" s="115">
        <v>2000</v>
      </c>
      <c r="B102" s="116" t="s">
        <v>39</v>
      </c>
      <c r="C102" s="127">
        <f>SUM(C103:C111)</f>
        <v>26422470.940000001</v>
      </c>
      <c r="D102" s="155"/>
      <c r="E102" s="131">
        <f>SUM(E103:E111)</f>
        <v>26322470.940000001</v>
      </c>
      <c r="F102" s="145"/>
      <c r="G102" s="130">
        <f>SUM(G103:G112)</f>
        <v>4323621.6500000004</v>
      </c>
      <c r="H102" s="131">
        <f>SUM(H103:H112)</f>
        <v>5431495.3700000001</v>
      </c>
      <c r="I102" s="131">
        <f>SUM(I103:I111)</f>
        <v>2101372.0360000003</v>
      </c>
      <c r="J102" s="131">
        <f>SUM(G102:I102)</f>
        <v>11856489.056</v>
      </c>
      <c r="L102" s="131">
        <f>E102-J102</f>
        <v>14465981.884000001</v>
      </c>
      <c r="M102" s="8"/>
      <c r="N102" s="57"/>
    </row>
    <row r="103" spans="1:14" ht="20.100000000000001" customHeight="1">
      <c r="A103" s="122"/>
      <c r="B103" s="123" t="s">
        <v>8</v>
      </c>
      <c r="C103" s="156">
        <v>120000</v>
      </c>
      <c r="D103" s="104">
        <v>-30000</v>
      </c>
      <c r="E103" s="83">
        <f>C103+D103</f>
        <v>90000</v>
      </c>
      <c r="F103" s="145"/>
      <c r="G103" s="80">
        <v>23530.1</v>
      </c>
      <c r="H103" s="83">
        <v>0</v>
      </c>
      <c r="I103" s="83">
        <v>17435.8</v>
      </c>
      <c r="J103" s="83">
        <f>SUM(G103:I103)</f>
        <v>40965.899999999994</v>
      </c>
      <c r="L103" s="83">
        <f>E103-J103</f>
        <v>49034.100000000006</v>
      </c>
      <c r="M103" s="8"/>
      <c r="N103" s="75" t="s">
        <v>89</v>
      </c>
    </row>
    <row r="104" spans="1:14" ht="20.100000000000001" customHeight="1">
      <c r="A104" s="122"/>
      <c r="B104" s="123" t="s">
        <v>9</v>
      </c>
      <c r="C104" s="156">
        <v>459596.3</v>
      </c>
      <c r="D104" s="104">
        <v>-35000</v>
      </c>
      <c r="E104" s="83">
        <f t="shared" ref="E104:E112" si="30">C104+D104</f>
        <v>424596.3</v>
      </c>
      <c r="F104" s="145"/>
      <c r="G104" s="80">
        <v>182191.45</v>
      </c>
      <c r="H104" s="85">
        <v>99715.98</v>
      </c>
      <c r="I104" s="83">
        <f>106424.04+524712.47</f>
        <v>631136.51</v>
      </c>
      <c r="J104" s="83">
        <f t="shared" ref="J104:J111" si="31">SUM(G104:I104)</f>
        <v>913043.94</v>
      </c>
      <c r="L104" s="83">
        <f t="shared" ref="L104:L111" si="32">E104-J104</f>
        <v>-488447.63999999996</v>
      </c>
      <c r="M104" s="8"/>
      <c r="N104" s="75"/>
    </row>
    <row r="105" spans="1:14" ht="20.100000000000001" customHeight="1">
      <c r="A105" s="122"/>
      <c r="B105" s="123" t="s">
        <v>10</v>
      </c>
      <c r="C105" s="156">
        <v>210000</v>
      </c>
      <c r="D105" s="104"/>
      <c r="E105" s="83">
        <f t="shared" si="30"/>
        <v>210000</v>
      </c>
      <c r="F105" s="145"/>
      <c r="G105" s="80">
        <v>90909.39</v>
      </c>
      <c r="H105" s="83">
        <v>0</v>
      </c>
      <c r="I105" s="83">
        <v>53734.93</v>
      </c>
      <c r="J105" s="83">
        <f t="shared" si="31"/>
        <v>144644.32</v>
      </c>
      <c r="L105" s="83">
        <f t="shared" si="32"/>
        <v>65355.679999999993</v>
      </c>
      <c r="M105" s="8"/>
      <c r="N105" s="75"/>
    </row>
    <row r="106" spans="1:14" ht="20.100000000000001" customHeight="1">
      <c r="A106" s="122"/>
      <c r="B106" s="123" t="s">
        <v>40</v>
      </c>
      <c r="C106" s="132">
        <v>0</v>
      </c>
      <c r="D106" s="104"/>
      <c r="E106" s="83">
        <f t="shared" si="30"/>
        <v>0</v>
      </c>
      <c r="F106" s="145"/>
      <c r="G106" s="86">
        <v>0</v>
      </c>
      <c r="H106" s="83">
        <v>0</v>
      </c>
      <c r="I106" s="83">
        <v>0</v>
      </c>
      <c r="J106" s="83">
        <f t="shared" si="31"/>
        <v>0</v>
      </c>
      <c r="L106" s="83">
        <f t="shared" si="32"/>
        <v>0</v>
      </c>
      <c r="M106" s="8"/>
      <c r="N106" s="75"/>
    </row>
    <row r="107" spans="1:14" ht="20.100000000000001" customHeight="1">
      <c r="A107" s="122"/>
      <c r="B107" s="123" t="s">
        <v>11</v>
      </c>
      <c r="C107" s="132">
        <f>500000*12+1800000</f>
        <v>7800000</v>
      </c>
      <c r="D107" s="104"/>
      <c r="E107" s="83">
        <f t="shared" si="30"/>
        <v>7800000</v>
      </c>
      <c r="F107" s="145"/>
      <c r="G107" s="80">
        <v>3700</v>
      </c>
      <c r="H107" s="85">
        <v>3380175.75</v>
      </c>
      <c r="I107" s="83">
        <f>9800.52+750.26</f>
        <v>10550.78</v>
      </c>
      <c r="J107" s="83">
        <f t="shared" si="31"/>
        <v>3394426.53</v>
      </c>
      <c r="L107" s="83">
        <f t="shared" si="32"/>
        <v>4405573.4700000007</v>
      </c>
      <c r="M107" s="8"/>
      <c r="N107" s="75"/>
    </row>
    <row r="108" spans="1:14" ht="20.100000000000001" customHeight="1">
      <c r="A108" s="122"/>
      <c r="B108" s="123" t="s">
        <v>7</v>
      </c>
      <c r="C108" s="132">
        <f>180000+720000+50000</f>
        <v>950000</v>
      </c>
      <c r="D108" s="104">
        <v>-35000</v>
      </c>
      <c r="E108" s="83">
        <f t="shared" si="30"/>
        <v>915000</v>
      </c>
      <c r="F108" s="145"/>
      <c r="G108" s="82">
        <v>698221.75</v>
      </c>
      <c r="H108" s="85">
        <v>435488.14</v>
      </c>
      <c r="I108" s="83">
        <f>429228.31+50616.07</f>
        <v>479844.38</v>
      </c>
      <c r="J108" s="83">
        <f t="shared" si="31"/>
        <v>1613554.27</v>
      </c>
      <c r="L108" s="83">
        <f t="shared" si="32"/>
        <v>-698554.27</v>
      </c>
      <c r="M108" s="8"/>
      <c r="N108" s="75"/>
    </row>
    <row r="109" spans="1:14" ht="20.100000000000001" customHeight="1">
      <c r="A109" s="122"/>
      <c r="B109" s="123" t="s">
        <v>6</v>
      </c>
      <c r="C109" s="132">
        <v>1200000</v>
      </c>
      <c r="D109" s="104"/>
      <c r="E109" s="83">
        <f t="shared" si="30"/>
        <v>1200000</v>
      </c>
      <c r="F109" s="145"/>
      <c r="G109" s="82">
        <v>369330</v>
      </c>
      <c r="H109" s="85">
        <v>188855.17</v>
      </c>
      <c r="I109" s="83">
        <f>I107*0.2</f>
        <v>2110.1560000000004</v>
      </c>
      <c r="J109" s="83">
        <f t="shared" si="31"/>
        <v>560295.326</v>
      </c>
      <c r="L109" s="83">
        <f t="shared" si="32"/>
        <v>639704.674</v>
      </c>
      <c r="M109" s="8"/>
      <c r="N109" s="75"/>
    </row>
    <row r="110" spans="1:14" ht="20.100000000000001" customHeight="1">
      <c r="A110" s="122"/>
      <c r="B110" s="123" t="s">
        <v>12</v>
      </c>
      <c r="C110" s="132">
        <v>0</v>
      </c>
      <c r="D110" s="104"/>
      <c r="E110" s="83">
        <f t="shared" si="30"/>
        <v>0</v>
      </c>
      <c r="F110" s="145"/>
      <c r="G110" s="82">
        <v>198375</v>
      </c>
      <c r="H110" s="83">
        <v>0</v>
      </c>
      <c r="I110" s="83">
        <f>40787.94+27748</f>
        <v>68535.94</v>
      </c>
      <c r="J110" s="83">
        <f t="shared" si="31"/>
        <v>266910.94</v>
      </c>
      <c r="L110" s="83">
        <f t="shared" si="32"/>
        <v>-266910.94</v>
      </c>
      <c r="M110" s="8"/>
      <c r="N110" s="75"/>
    </row>
    <row r="111" spans="1:14" ht="20.100000000000001" customHeight="1">
      <c r="A111" s="122"/>
      <c r="B111" s="123" t="s">
        <v>41</v>
      </c>
      <c r="C111" s="132">
        <f>10615821.48+5067053.16</f>
        <v>15682874.640000001</v>
      </c>
      <c r="D111" s="104"/>
      <c r="E111" s="83">
        <f t="shared" si="30"/>
        <v>15682874.640000001</v>
      </c>
      <c r="F111" s="145"/>
      <c r="G111" s="82">
        <v>2757363.96</v>
      </c>
      <c r="H111" s="85">
        <v>1327260.33</v>
      </c>
      <c r="I111" s="83">
        <v>838023.54</v>
      </c>
      <c r="J111" s="83">
        <f t="shared" si="31"/>
        <v>4922647.83</v>
      </c>
      <c r="L111" s="83">
        <f t="shared" si="32"/>
        <v>10760226.810000001</v>
      </c>
      <c r="M111" s="8"/>
      <c r="N111" s="76"/>
    </row>
    <row r="112" spans="1:14" ht="20.100000000000001" customHeight="1">
      <c r="A112" s="122"/>
      <c r="B112" s="123"/>
      <c r="C112" s="124"/>
      <c r="D112" s="104"/>
      <c r="E112" s="83">
        <f t="shared" si="30"/>
        <v>0</v>
      </c>
      <c r="F112" s="145"/>
      <c r="G112" s="86"/>
      <c r="H112" s="83"/>
      <c r="I112" s="83"/>
      <c r="J112" s="83"/>
      <c r="L112" s="83"/>
      <c r="M112" s="8"/>
      <c r="N112" s="40"/>
    </row>
    <row r="113" spans="1:14" ht="20.100000000000001" customHeight="1">
      <c r="A113" s="107"/>
      <c r="B113" s="108" t="s">
        <v>42</v>
      </c>
      <c r="C113" s="125">
        <f>C114</f>
        <v>148681.51</v>
      </c>
      <c r="D113" s="104"/>
      <c r="E113" s="147">
        <f t="shared" si="29"/>
        <v>148681.51</v>
      </c>
      <c r="F113" s="145"/>
      <c r="G113" s="113">
        <f>G114</f>
        <v>74081.63</v>
      </c>
      <c r="H113" s="114">
        <f>H114</f>
        <v>10042.700000000001</v>
      </c>
      <c r="I113" s="114">
        <f>I114</f>
        <v>72996.329999999987</v>
      </c>
      <c r="J113" s="114">
        <f>SUM(G113:I113)</f>
        <v>157120.65999999997</v>
      </c>
      <c r="L113" s="114">
        <f>E113-J113</f>
        <v>-8439.1499999999651</v>
      </c>
      <c r="M113" s="8"/>
      <c r="N113" s="53" t="s">
        <v>87</v>
      </c>
    </row>
    <row r="114" spans="1:14" ht="20.100000000000001" customHeight="1">
      <c r="A114" s="115">
        <v>2002</v>
      </c>
      <c r="B114" s="116" t="s">
        <v>43</v>
      </c>
      <c r="C114" s="127">
        <f>SUM(C115:C119)</f>
        <v>148681.51</v>
      </c>
      <c r="D114" s="104"/>
      <c r="E114" s="134">
        <f>SUM(E115:E119)</f>
        <v>148681.51</v>
      </c>
      <c r="F114" s="145"/>
      <c r="G114" s="133">
        <f>SUM(G115:G120)</f>
        <v>74081.63</v>
      </c>
      <c r="H114" s="134">
        <f>SUM(H115:H120)</f>
        <v>10042.700000000001</v>
      </c>
      <c r="I114" s="134">
        <f>SUM(I115:I120)</f>
        <v>72996.329999999987</v>
      </c>
      <c r="J114" s="134">
        <f>SUM(J115:J120)</f>
        <v>157120.65999999997</v>
      </c>
      <c r="L114" s="134">
        <f>E114-J114</f>
        <v>-8439.1499999999651</v>
      </c>
      <c r="M114" s="8"/>
      <c r="N114" s="54"/>
    </row>
    <row r="115" spans="1:14" ht="20.100000000000001" customHeight="1">
      <c r="A115" s="122"/>
      <c r="B115" s="123" t="s">
        <v>9</v>
      </c>
      <c r="C115" s="132">
        <v>20000</v>
      </c>
      <c r="D115" s="104"/>
      <c r="E115" s="83">
        <f t="shared" si="29"/>
        <v>20000</v>
      </c>
      <c r="F115" s="145"/>
      <c r="G115" s="86">
        <v>0</v>
      </c>
      <c r="H115" s="86">
        <v>0</v>
      </c>
      <c r="I115" s="83">
        <v>17149.599999999999</v>
      </c>
      <c r="J115" s="83">
        <f>SUM(G115:I115)</f>
        <v>17149.599999999999</v>
      </c>
      <c r="L115" s="83">
        <f>E115-J115</f>
        <v>2850.4000000000015</v>
      </c>
      <c r="M115" s="8"/>
      <c r="N115" s="54"/>
    </row>
    <row r="116" spans="1:14" ht="20.100000000000001" customHeight="1">
      <c r="A116" s="122"/>
      <c r="B116" s="123" t="s">
        <v>11</v>
      </c>
      <c r="C116" s="132">
        <v>0</v>
      </c>
      <c r="D116" s="104"/>
      <c r="E116" s="83">
        <f t="shared" si="29"/>
        <v>0</v>
      </c>
      <c r="F116" s="145"/>
      <c r="G116" s="86">
        <v>0</v>
      </c>
      <c r="H116" s="86">
        <v>0</v>
      </c>
      <c r="I116" s="83">
        <v>0</v>
      </c>
      <c r="J116" s="83">
        <f t="shared" ref="J116:J119" si="33">SUM(G116:I116)</f>
        <v>0</v>
      </c>
      <c r="L116" s="83">
        <f t="shared" ref="L116:L119" si="34">E116-J116</f>
        <v>0</v>
      </c>
      <c r="M116" s="8"/>
      <c r="N116" s="54"/>
    </row>
    <row r="117" spans="1:14" ht="20.100000000000001" customHeight="1">
      <c r="A117" s="122"/>
      <c r="B117" s="123" t="s">
        <v>7</v>
      </c>
      <c r="C117" s="132">
        <v>40000</v>
      </c>
      <c r="D117" s="104"/>
      <c r="E117" s="83">
        <f t="shared" si="29"/>
        <v>40000</v>
      </c>
      <c r="F117" s="145"/>
      <c r="G117" s="80">
        <v>37299.61</v>
      </c>
      <c r="H117" s="85">
        <v>10042.700000000001</v>
      </c>
      <c r="I117" s="83">
        <f>14981+27809.73</f>
        <v>42790.729999999996</v>
      </c>
      <c r="J117" s="83">
        <f t="shared" si="33"/>
        <v>90133.04</v>
      </c>
      <c r="L117" s="83">
        <f t="shared" si="34"/>
        <v>-50133.039999999994</v>
      </c>
      <c r="M117" s="8"/>
      <c r="N117" s="54"/>
    </row>
    <row r="118" spans="1:14" ht="20.100000000000001" customHeight="1">
      <c r="A118" s="122"/>
      <c r="B118" s="123" t="s">
        <v>6</v>
      </c>
      <c r="C118" s="132">
        <v>0</v>
      </c>
      <c r="D118" s="104"/>
      <c r="E118" s="83">
        <f t="shared" si="29"/>
        <v>0</v>
      </c>
      <c r="F118" s="145"/>
      <c r="G118" s="86">
        <v>0</v>
      </c>
      <c r="H118" s="86">
        <v>0</v>
      </c>
      <c r="I118" s="83">
        <v>0</v>
      </c>
      <c r="J118" s="83">
        <f t="shared" si="33"/>
        <v>0</v>
      </c>
      <c r="L118" s="83">
        <f t="shared" si="34"/>
        <v>0</v>
      </c>
      <c r="M118" s="8"/>
      <c r="N118" s="54"/>
    </row>
    <row r="119" spans="1:14" ht="20.100000000000001" customHeight="1">
      <c r="A119" s="122"/>
      <c r="B119" s="123" t="s">
        <v>12</v>
      </c>
      <c r="C119" s="132">
        <v>88681.51</v>
      </c>
      <c r="D119" s="104"/>
      <c r="E119" s="83">
        <f t="shared" si="29"/>
        <v>88681.51</v>
      </c>
      <c r="F119" s="145"/>
      <c r="G119" s="80">
        <v>36782.019999999997</v>
      </c>
      <c r="H119" s="86">
        <v>0</v>
      </c>
      <c r="I119" s="83">
        <f>1454+11602</f>
        <v>13056</v>
      </c>
      <c r="J119" s="83">
        <f t="shared" si="33"/>
        <v>49838.02</v>
      </c>
      <c r="L119" s="83">
        <f t="shared" si="34"/>
        <v>38843.49</v>
      </c>
      <c r="M119" s="8"/>
      <c r="N119" s="55"/>
    </row>
    <row r="120" spans="1:14" ht="20.100000000000001" customHeight="1">
      <c r="A120" s="101"/>
      <c r="B120" s="102"/>
      <c r="C120" s="103"/>
      <c r="D120" s="104"/>
      <c r="E120" s="83">
        <f t="shared" si="29"/>
        <v>0</v>
      </c>
      <c r="F120" s="145"/>
      <c r="G120" s="86"/>
      <c r="H120" s="83"/>
      <c r="I120" s="83"/>
      <c r="J120" s="83"/>
      <c r="L120" s="83"/>
      <c r="M120" s="8"/>
      <c r="N120" s="40"/>
    </row>
    <row r="121" spans="1:14" ht="20.100000000000001" customHeight="1">
      <c r="A121" s="107"/>
      <c r="B121" s="108" t="s">
        <v>44</v>
      </c>
      <c r="C121" s="125">
        <f>C122</f>
        <v>451873.61</v>
      </c>
      <c r="D121" s="104"/>
      <c r="E121" s="147">
        <f t="shared" si="29"/>
        <v>451873.61</v>
      </c>
      <c r="F121" s="145"/>
      <c r="G121" s="113">
        <f>G122</f>
        <v>84309.34</v>
      </c>
      <c r="H121" s="114">
        <f>H122</f>
        <v>0</v>
      </c>
      <c r="I121" s="114">
        <f>I122</f>
        <v>139321.69</v>
      </c>
      <c r="J121" s="114">
        <f>SUM(G121:I121)</f>
        <v>223631.03</v>
      </c>
      <c r="L121" s="114">
        <f>E121-J121</f>
        <v>228242.58</v>
      </c>
      <c r="M121" s="8"/>
      <c r="N121" s="58" t="s">
        <v>88</v>
      </c>
    </row>
    <row r="122" spans="1:14" ht="20.100000000000001" customHeight="1">
      <c r="A122" s="115">
        <v>7867</v>
      </c>
      <c r="B122" s="116" t="s">
        <v>45</v>
      </c>
      <c r="C122" s="127">
        <f>SUM(C123:C125)</f>
        <v>451873.61</v>
      </c>
      <c r="D122" s="104"/>
      <c r="E122" s="134">
        <f>SUM(E123:E126)</f>
        <v>451873.61</v>
      </c>
      <c r="F122" s="145"/>
      <c r="G122" s="133">
        <f>SUM(G123:G126)</f>
        <v>84309.34</v>
      </c>
      <c r="H122" s="133">
        <f t="shared" ref="H122:J122" si="35">SUM(H123:H126)</f>
        <v>0</v>
      </c>
      <c r="I122" s="133">
        <f t="shared" si="35"/>
        <v>139321.69</v>
      </c>
      <c r="J122" s="133">
        <f t="shared" si="35"/>
        <v>223631.03000000003</v>
      </c>
      <c r="L122" s="134">
        <f>E122-J122</f>
        <v>228242.57999999996</v>
      </c>
      <c r="M122" s="8"/>
      <c r="N122" s="59"/>
    </row>
    <row r="123" spans="1:14" ht="20.100000000000001" customHeight="1">
      <c r="A123" s="122"/>
      <c r="B123" s="123" t="s">
        <v>9</v>
      </c>
      <c r="C123" s="132">
        <v>150000</v>
      </c>
      <c r="D123" s="104"/>
      <c r="E123" s="83">
        <f t="shared" si="29"/>
        <v>150000</v>
      </c>
      <c r="F123" s="145"/>
      <c r="G123" s="80">
        <v>30339.360000000001</v>
      </c>
      <c r="H123" s="83">
        <v>0</v>
      </c>
      <c r="I123" s="83">
        <v>1872.5</v>
      </c>
      <c r="J123" s="83">
        <f>SUM(G123:I123)</f>
        <v>32211.86</v>
      </c>
      <c r="L123" s="83">
        <f>E123-J123</f>
        <v>117788.14</v>
      </c>
      <c r="M123" s="8"/>
      <c r="N123" s="59"/>
    </row>
    <row r="124" spans="1:14" ht="20.100000000000001" customHeight="1">
      <c r="A124" s="122"/>
      <c r="B124" s="123" t="s">
        <v>7</v>
      </c>
      <c r="C124" s="149">
        <v>51873.61</v>
      </c>
      <c r="D124" s="104"/>
      <c r="E124" s="83">
        <f t="shared" si="29"/>
        <v>51873.61</v>
      </c>
      <c r="F124" s="145"/>
      <c r="G124" s="83">
        <v>0</v>
      </c>
      <c r="H124" s="83">
        <v>0</v>
      </c>
      <c r="I124" s="83">
        <v>0</v>
      </c>
      <c r="J124" s="83">
        <f t="shared" ref="J124:J125" si="36">SUM(G124:I124)</f>
        <v>0</v>
      </c>
      <c r="L124" s="83">
        <f t="shared" ref="L124:L125" si="37">E124-J124</f>
        <v>51873.61</v>
      </c>
      <c r="M124" s="8"/>
      <c r="N124" s="59"/>
    </row>
    <row r="125" spans="1:14" ht="20.100000000000001" customHeight="1">
      <c r="A125" s="122"/>
      <c r="B125" s="123" t="s">
        <v>12</v>
      </c>
      <c r="C125" s="132">
        <v>250000</v>
      </c>
      <c r="D125" s="104"/>
      <c r="E125" s="83">
        <f t="shared" si="29"/>
        <v>250000</v>
      </c>
      <c r="F125" s="145"/>
      <c r="G125" s="80">
        <v>53969.98</v>
      </c>
      <c r="H125" s="83">
        <v>0</v>
      </c>
      <c r="I125" s="83">
        <v>137449.19</v>
      </c>
      <c r="J125" s="83">
        <f t="shared" si="36"/>
        <v>191419.17</v>
      </c>
      <c r="L125" s="83">
        <f t="shared" si="37"/>
        <v>58580.829999999987</v>
      </c>
      <c r="M125" s="8"/>
      <c r="N125" s="60"/>
    </row>
    <row r="126" spans="1:14" ht="20.100000000000001" customHeight="1">
      <c r="A126" s="101"/>
      <c r="B126" s="102"/>
      <c r="C126" s="103"/>
      <c r="D126" s="104"/>
      <c r="E126" s="83">
        <f t="shared" si="29"/>
        <v>0</v>
      </c>
      <c r="F126" s="145"/>
      <c r="G126" s="86"/>
      <c r="H126" s="83"/>
      <c r="I126" s="83"/>
      <c r="J126" s="83"/>
      <c r="L126" s="83"/>
      <c r="M126" s="8"/>
      <c r="N126" s="41"/>
    </row>
    <row r="127" spans="1:14" ht="20.100000000000001" customHeight="1">
      <c r="A127" s="107"/>
      <c r="B127" s="108" t="s">
        <v>46</v>
      </c>
      <c r="C127" s="125">
        <f>C128+C131+C135</f>
        <v>1397398.29</v>
      </c>
      <c r="D127" s="104"/>
      <c r="E127" s="147">
        <f>E128+E131+E135</f>
        <v>1397398.29</v>
      </c>
      <c r="F127" s="145"/>
      <c r="G127" s="113">
        <f>G128</f>
        <v>0</v>
      </c>
      <c r="H127" s="114">
        <f>H128</f>
        <v>0</v>
      </c>
      <c r="I127" s="114">
        <f>I128+I131+I135</f>
        <v>1397398.29</v>
      </c>
      <c r="J127" s="114">
        <f>SUM(G127:I127)</f>
        <v>1397398.29</v>
      </c>
      <c r="L127" s="114">
        <f>E127-J127</f>
        <v>0</v>
      </c>
      <c r="M127" s="8"/>
      <c r="N127" s="61" t="s">
        <v>86</v>
      </c>
    </row>
    <row r="128" spans="1:14" ht="20.100000000000001" customHeight="1">
      <c r="A128" s="115">
        <v>7863</v>
      </c>
      <c r="B128" s="116" t="s">
        <v>47</v>
      </c>
      <c r="C128" s="127">
        <f>C129</f>
        <v>650000</v>
      </c>
      <c r="D128" s="104"/>
      <c r="E128" s="134">
        <f t="shared" si="29"/>
        <v>650000</v>
      </c>
      <c r="F128" s="145"/>
      <c r="G128" s="133">
        <f>SUM(G129:G130)</f>
        <v>0</v>
      </c>
      <c r="H128" s="133">
        <f t="shared" ref="H128:I128" si="38">SUM(H129:H130)</f>
        <v>0</v>
      </c>
      <c r="I128" s="133">
        <f t="shared" si="38"/>
        <v>650000</v>
      </c>
      <c r="J128" s="133">
        <f>SUM(G128:I128)</f>
        <v>650000</v>
      </c>
      <c r="L128" s="134">
        <f>E128-J128</f>
        <v>0</v>
      </c>
      <c r="M128" s="8"/>
      <c r="N128" s="62"/>
    </row>
    <row r="129" spans="1:14" s="7" customFormat="1" ht="20.100000000000001" customHeight="1">
      <c r="A129" s="157"/>
      <c r="B129" s="153" t="s">
        <v>48</v>
      </c>
      <c r="C129" s="149">
        <v>650000</v>
      </c>
      <c r="D129" s="158"/>
      <c r="E129" s="159">
        <f t="shared" si="29"/>
        <v>650000</v>
      </c>
      <c r="F129" s="160"/>
      <c r="G129" s="161">
        <v>0</v>
      </c>
      <c r="H129" s="159">
        <v>0</v>
      </c>
      <c r="I129" s="159">
        <v>650000</v>
      </c>
      <c r="J129" s="159">
        <f>SUM(G129:I129)</f>
        <v>650000</v>
      </c>
      <c r="K129" s="162"/>
      <c r="L129" s="159">
        <f>E129-J129</f>
        <v>0</v>
      </c>
      <c r="M129" s="19"/>
      <c r="N129" s="62"/>
    </row>
    <row r="130" spans="1:14" ht="20.100000000000001" customHeight="1">
      <c r="A130" s="122"/>
      <c r="B130" s="123"/>
      <c r="C130" s="132"/>
      <c r="D130" s="104"/>
      <c r="E130" s="83"/>
      <c r="F130" s="145"/>
      <c r="G130" s="86"/>
      <c r="H130" s="83"/>
      <c r="I130" s="83"/>
      <c r="J130" s="83"/>
      <c r="L130" s="83"/>
      <c r="M130" s="8"/>
      <c r="N130" s="62"/>
    </row>
    <row r="131" spans="1:14" ht="20.100000000000001" customHeight="1">
      <c r="A131" s="115">
        <v>7871</v>
      </c>
      <c r="B131" s="116" t="s">
        <v>49</v>
      </c>
      <c r="C131" s="127">
        <f>SUM(C132:C133)</f>
        <v>397398.29</v>
      </c>
      <c r="D131" s="104"/>
      <c r="E131" s="134">
        <f>SUM(E132:E133)</f>
        <v>397398.29</v>
      </c>
      <c r="F131" s="145"/>
      <c r="G131" s="133">
        <f>SUM(G132:G134)</f>
        <v>0</v>
      </c>
      <c r="H131" s="133">
        <f t="shared" ref="H131:J131" si="39">SUM(H132:H134)</f>
        <v>0</v>
      </c>
      <c r="I131" s="133">
        <f t="shared" si="39"/>
        <v>397398.29000000004</v>
      </c>
      <c r="J131" s="133">
        <f t="shared" si="39"/>
        <v>397398.29000000004</v>
      </c>
      <c r="L131" s="134">
        <f>E131-J131</f>
        <v>0</v>
      </c>
      <c r="M131" s="8"/>
      <c r="N131" s="62"/>
    </row>
    <row r="132" spans="1:14" s="7" customFormat="1" ht="20.100000000000001" customHeight="1">
      <c r="A132" s="157"/>
      <c r="B132" s="153" t="s">
        <v>7</v>
      </c>
      <c r="C132" s="149">
        <v>47398.29</v>
      </c>
      <c r="D132" s="158"/>
      <c r="E132" s="159">
        <f t="shared" si="29"/>
        <v>47398.29</v>
      </c>
      <c r="F132" s="160"/>
      <c r="G132" s="161">
        <v>0</v>
      </c>
      <c r="H132" s="161">
        <v>0</v>
      </c>
      <c r="I132" s="159">
        <v>164254.34</v>
      </c>
      <c r="J132" s="159">
        <f>SUM(G132:I132)</f>
        <v>164254.34</v>
      </c>
      <c r="K132" s="162"/>
      <c r="L132" s="159">
        <f>E132-J132</f>
        <v>-116856.04999999999</v>
      </c>
      <c r="M132" s="19"/>
      <c r="N132" s="62"/>
    </row>
    <row r="133" spans="1:14" s="7" customFormat="1" ht="20.100000000000001" customHeight="1">
      <c r="A133" s="157"/>
      <c r="B133" s="153" t="s">
        <v>48</v>
      </c>
      <c r="C133" s="149">
        <v>350000</v>
      </c>
      <c r="D133" s="158"/>
      <c r="E133" s="159">
        <f t="shared" si="29"/>
        <v>350000</v>
      </c>
      <c r="F133" s="160"/>
      <c r="G133" s="161">
        <v>0</v>
      </c>
      <c r="H133" s="161">
        <v>0</v>
      </c>
      <c r="I133" s="159">
        <v>233143.95</v>
      </c>
      <c r="J133" s="159">
        <f>SUM(G133:I133)</f>
        <v>233143.95</v>
      </c>
      <c r="K133" s="162"/>
      <c r="L133" s="159">
        <f>E133-J133</f>
        <v>116856.04999999999</v>
      </c>
      <c r="M133" s="19"/>
      <c r="N133" s="62"/>
    </row>
    <row r="134" spans="1:14" s="7" customFormat="1" ht="20.100000000000001" customHeight="1">
      <c r="A134" s="163"/>
      <c r="B134" s="153"/>
      <c r="C134" s="149"/>
      <c r="D134" s="158"/>
      <c r="E134" s="159"/>
      <c r="F134" s="160"/>
      <c r="G134" s="161"/>
      <c r="H134" s="161"/>
      <c r="I134" s="159"/>
      <c r="J134" s="159"/>
      <c r="K134" s="162"/>
      <c r="L134" s="159"/>
      <c r="M134" s="19"/>
      <c r="N134" s="62"/>
    </row>
    <row r="135" spans="1:14" ht="20.100000000000001" customHeight="1">
      <c r="A135" s="115">
        <v>7858</v>
      </c>
      <c r="B135" s="116" t="s">
        <v>50</v>
      </c>
      <c r="C135" s="127">
        <f>SUM(C136:C137)</f>
        <v>350000</v>
      </c>
      <c r="D135" s="104"/>
      <c r="E135" s="134">
        <f>SUM(E136:E137)</f>
        <v>350000</v>
      </c>
      <c r="F135" s="145"/>
      <c r="G135" s="133">
        <f>SUM(G136:G137)</f>
        <v>0</v>
      </c>
      <c r="H135" s="133">
        <f t="shared" ref="H135:J135" si="40">SUM(H136:H137)</f>
        <v>0</v>
      </c>
      <c r="I135" s="133">
        <f t="shared" si="40"/>
        <v>350000</v>
      </c>
      <c r="J135" s="133">
        <f t="shared" si="40"/>
        <v>350000</v>
      </c>
      <c r="L135" s="134">
        <f>E135-J135</f>
        <v>0</v>
      </c>
      <c r="M135" s="8"/>
      <c r="N135" s="62"/>
    </row>
    <row r="136" spans="1:14" s="7" customFormat="1" ht="20.100000000000001" customHeight="1">
      <c r="A136" s="157"/>
      <c r="B136" s="153" t="s">
        <v>7</v>
      </c>
      <c r="C136" s="149">
        <v>30000</v>
      </c>
      <c r="D136" s="158"/>
      <c r="E136" s="159">
        <f t="shared" si="29"/>
        <v>30000</v>
      </c>
      <c r="F136" s="160"/>
      <c r="G136" s="161">
        <v>0</v>
      </c>
      <c r="H136" s="159">
        <v>0</v>
      </c>
      <c r="I136" s="159">
        <v>30000</v>
      </c>
      <c r="J136" s="159">
        <f>SUM(G136:I136)</f>
        <v>30000</v>
      </c>
      <c r="K136" s="162"/>
      <c r="L136" s="159">
        <f>E136-J136</f>
        <v>0</v>
      </c>
      <c r="M136" s="19"/>
      <c r="N136" s="62"/>
    </row>
    <row r="137" spans="1:14" s="7" customFormat="1" ht="20.100000000000001" customHeight="1">
      <c r="A137" s="157"/>
      <c r="B137" s="153" t="s">
        <v>48</v>
      </c>
      <c r="C137" s="149">
        <v>320000</v>
      </c>
      <c r="D137" s="158"/>
      <c r="E137" s="159">
        <f t="shared" si="29"/>
        <v>320000</v>
      </c>
      <c r="F137" s="160"/>
      <c r="G137" s="161">
        <v>0</v>
      </c>
      <c r="H137" s="159">
        <v>0</v>
      </c>
      <c r="I137" s="159">
        <v>320000</v>
      </c>
      <c r="J137" s="159">
        <f>SUM(G137:I137)</f>
        <v>320000</v>
      </c>
      <c r="K137" s="162"/>
      <c r="L137" s="159">
        <f>E137-J137</f>
        <v>0</v>
      </c>
      <c r="M137" s="19"/>
      <c r="N137" s="63"/>
    </row>
    <row r="139" spans="1:14" ht="20.100000000000001" customHeight="1">
      <c r="A139" s="107"/>
      <c r="B139" s="108" t="s">
        <v>51</v>
      </c>
      <c r="C139" s="164">
        <f>C140+C143+C146</f>
        <v>5597000</v>
      </c>
      <c r="D139" s="104"/>
      <c r="E139" s="147">
        <f>C139-D139</f>
        <v>5597000</v>
      </c>
      <c r="F139" s="145"/>
      <c r="G139" s="113">
        <f>G140</f>
        <v>0</v>
      </c>
      <c r="H139" s="114">
        <f>H140</f>
        <v>579800.31999999995</v>
      </c>
      <c r="I139" s="114">
        <f>I140</f>
        <v>0</v>
      </c>
      <c r="J139" s="114">
        <f>J140+J143+J146</f>
        <v>1884706.4299999997</v>
      </c>
      <c r="L139" s="114">
        <f>E139-J139</f>
        <v>3712293.5700000003</v>
      </c>
      <c r="N139" s="64"/>
    </row>
    <row r="140" spans="1:14" ht="32.25" customHeight="1">
      <c r="A140" s="115">
        <v>2022</v>
      </c>
      <c r="B140" s="116" t="s">
        <v>52</v>
      </c>
      <c r="C140" s="127">
        <f>SUM(C141)</f>
        <v>1560000</v>
      </c>
      <c r="D140" s="104"/>
      <c r="E140" s="134">
        <f t="shared" ref="E140:E171" si="41">C140-D140</f>
        <v>1560000</v>
      </c>
      <c r="F140" s="145"/>
      <c r="G140" s="121">
        <f>G141</f>
        <v>0</v>
      </c>
      <c r="H140" s="121">
        <f t="shared" ref="H140:I140" si="42">H141</f>
        <v>579800.31999999995</v>
      </c>
      <c r="I140" s="121">
        <f t="shared" si="42"/>
        <v>0</v>
      </c>
      <c r="J140" s="121">
        <f>SUM(G140:I140)</f>
        <v>579800.31999999995</v>
      </c>
      <c r="L140" s="117">
        <f>E140-J140</f>
        <v>980199.68</v>
      </c>
      <c r="N140" s="65" t="s">
        <v>100</v>
      </c>
    </row>
    <row r="141" spans="1:14" ht="20.100000000000001" customHeight="1">
      <c r="A141" s="122"/>
      <c r="B141" s="123" t="s">
        <v>53</v>
      </c>
      <c r="C141" s="156">
        <v>1560000</v>
      </c>
      <c r="D141" s="104"/>
      <c r="E141" s="165">
        <f t="shared" si="41"/>
        <v>1560000</v>
      </c>
      <c r="F141" s="145"/>
      <c r="G141" s="86">
        <v>0</v>
      </c>
      <c r="H141" s="85">
        <v>579800.31999999995</v>
      </c>
      <c r="I141" s="83">
        <v>0</v>
      </c>
      <c r="J141" s="83">
        <f>SUM(G141:I141)</f>
        <v>579800.31999999995</v>
      </c>
      <c r="L141" s="83">
        <f>E141-J141</f>
        <v>980199.68</v>
      </c>
      <c r="N141" s="66"/>
    </row>
    <row r="142" spans="1:14" ht="20.100000000000001" customHeight="1">
      <c r="A142" s="166"/>
      <c r="B142" s="167"/>
      <c r="C142" s="168"/>
      <c r="D142" s="104"/>
      <c r="E142" s="83"/>
      <c r="F142" s="145"/>
      <c r="G142" s="86"/>
      <c r="H142" s="83"/>
      <c r="I142" s="83"/>
      <c r="J142" s="83"/>
      <c r="L142" s="83"/>
      <c r="N142" s="66"/>
    </row>
    <row r="143" spans="1:14" ht="20.100000000000001" customHeight="1">
      <c r="A143" s="115">
        <v>2009</v>
      </c>
      <c r="B143" s="116" t="s">
        <v>54</v>
      </c>
      <c r="C143" s="127">
        <f>SUM(C144)</f>
        <v>37000</v>
      </c>
      <c r="D143" s="104"/>
      <c r="E143" s="134">
        <f t="shared" si="41"/>
        <v>37000</v>
      </c>
      <c r="F143" s="145"/>
      <c r="G143" s="121">
        <f>G144</f>
        <v>0</v>
      </c>
      <c r="H143" s="121">
        <f t="shared" ref="H143:I143" si="43">H144</f>
        <v>19125.080000000002</v>
      </c>
      <c r="I143" s="121">
        <f t="shared" si="43"/>
        <v>0</v>
      </c>
      <c r="J143" s="121">
        <f>SUM(G143:I143)</f>
        <v>19125.080000000002</v>
      </c>
      <c r="L143" s="117">
        <f>E143-J143</f>
        <v>17874.919999999998</v>
      </c>
      <c r="N143" s="66" t="s">
        <v>101</v>
      </c>
    </row>
    <row r="144" spans="1:14" ht="20.100000000000001" customHeight="1">
      <c r="A144" s="122"/>
      <c r="B144" s="123" t="s">
        <v>55</v>
      </c>
      <c r="C144" s="132">
        <v>37000</v>
      </c>
      <c r="D144" s="104"/>
      <c r="E144" s="83">
        <f t="shared" si="41"/>
        <v>37000</v>
      </c>
      <c r="F144" s="145"/>
      <c r="G144" s="86">
        <v>0</v>
      </c>
      <c r="H144" s="85">
        <v>19125.080000000002</v>
      </c>
      <c r="I144" s="83">
        <v>0</v>
      </c>
      <c r="J144" s="83">
        <f>SUM(G144:I144)</f>
        <v>19125.080000000002</v>
      </c>
      <c r="L144" s="83">
        <f>E144-J144</f>
        <v>17874.919999999998</v>
      </c>
      <c r="N144" s="66"/>
    </row>
    <row r="145" spans="1:14" ht="20.100000000000001" customHeight="1">
      <c r="A145" s="122"/>
      <c r="B145" s="123"/>
      <c r="C145" s="132"/>
      <c r="D145" s="104"/>
      <c r="E145" s="83"/>
      <c r="F145" s="145"/>
      <c r="G145" s="86"/>
      <c r="H145" s="83"/>
      <c r="I145" s="83"/>
      <c r="J145" s="83"/>
      <c r="L145" s="83"/>
      <c r="N145" s="66"/>
    </row>
    <row r="146" spans="1:14" ht="25.5" customHeight="1">
      <c r="A146" s="115">
        <v>2013</v>
      </c>
      <c r="B146" s="116" t="s">
        <v>56</v>
      </c>
      <c r="C146" s="127">
        <f>SUM(C147:C148)</f>
        <v>4000000</v>
      </c>
      <c r="D146" s="104"/>
      <c r="E146" s="134">
        <f t="shared" si="41"/>
        <v>4000000</v>
      </c>
      <c r="F146" s="145"/>
      <c r="G146" s="121">
        <f>SUM(G147:G148)</f>
        <v>0</v>
      </c>
      <c r="H146" s="121">
        <f t="shared" ref="H146:I146" si="44">SUM(H147:H148)</f>
        <v>1285781.0299999998</v>
      </c>
      <c r="I146" s="121">
        <f t="shared" si="44"/>
        <v>0</v>
      </c>
      <c r="J146" s="117">
        <f>SUM(G146:I146)</f>
        <v>1285781.0299999998</v>
      </c>
      <c r="L146" s="117">
        <f>E146-J146</f>
        <v>2714218.97</v>
      </c>
      <c r="N146" s="66" t="s">
        <v>102</v>
      </c>
    </row>
    <row r="147" spans="1:14" ht="20.100000000000001" customHeight="1">
      <c r="A147" s="122"/>
      <c r="B147" s="123" t="s">
        <v>57</v>
      </c>
      <c r="C147" s="132">
        <v>3600000</v>
      </c>
      <c r="D147" s="104"/>
      <c r="E147" s="83">
        <f t="shared" si="41"/>
        <v>3600000</v>
      </c>
      <c r="F147" s="145"/>
      <c r="G147" s="86">
        <v>0</v>
      </c>
      <c r="H147" s="85">
        <v>1103284.6599999999</v>
      </c>
      <c r="I147" s="83">
        <v>0</v>
      </c>
      <c r="J147" s="83">
        <f>SUM(G147:I147)</f>
        <v>1103284.6599999999</v>
      </c>
      <c r="L147" s="83">
        <f>E147-J147</f>
        <v>2496715.34</v>
      </c>
      <c r="N147" s="67"/>
    </row>
    <row r="148" spans="1:14" ht="20.100000000000001" customHeight="1">
      <c r="A148" s="122"/>
      <c r="B148" s="123" t="s">
        <v>58</v>
      </c>
      <c r="C148" s="132">
        <v>400000</v>
      </c>
      <c r="D148" s="104"/>
      <c r="E148" s="83">
        <f t="shared" si="41"/>
        <v>400000</v>
      </c>
      <c r="F148" s="145"/>
      <c r="G148" s="86">
        <v>0</v>
      </c>
      <c r="H148" s="85">
        <v>182496.37</v>
      </c>
      <c r="I148" s="83">
        <v>0</v>
      </c>
      <c r="J148" s="83">
        <f>SUM(G148:I148)</f>
        <v>182496.37</v>
      </c>
      <c r="L148" s="83">
        <f>E148-J148</f>
        <v>217503.63</v>
      </c>
      <c r="N148" s="68"/>
    </row>
    <row r="149" spans="1:14" ht="20.100000000000001" customHeight="1">
      <c r="A149" s="122"/>
      <c r="B149" s="123"/>
      <c r="C149" s="124"/>
      <c r="D149" s="104"/>
      <c r="E149" s="83"/>
      <c r="F149" s="145"/>
      <c r="G149" s="86"/>
      <c r="H149" s="83"/>
      <c r="I149" s="83"/>
      <c r="J149" s="83"/>
      <c r="L149" s="83"/>
      <c r="N149" s="42"/>
    </row>
    <row r="150" spans="1:14" ht="20.100000000000001" customHeight="1">
      <c r="A150" s="107"/>
      <c r="B150" s="108" t="s">
        <v>59</v>
      </c>
      <c r="C150" s="164">
        <f>C151+C154+C157</f>
        <v>210000</v>
      </c>
      <c r="D150" s="104"/>
      <c r="E150" s="147">
        <f t="shared" si="41"/>
        <v>210000</v>
      </c>
      <c r="F150" s="145"/>
      <c r="G150" s="113">
        <f>G151+G154+G157+G160</f>
        <v>19816</v>
      </c>
      <c r="H150" s="113">
        <f t="shared" ref="H150:I150" si="45">H151+H154+H157+H160</f>
        <v>6703.65</v>
      </c>
      <c r="I150" s="113">
        <f t="shared" si="45"/>
        <v>0</v>
      </c>
      <c r="J150" s="113">
        <f>SUM(G150:I150)</f>
        <v>26519.65</v>
      </c>
      <c r="L150" s="113">
        <f>E150-J150</f>
        <v>183480.35</v>
      </c>
      <c r="N150" s="69"/>
    </row>
    <row r="151" spans="1:14" ht="20.100000000000001" customHeight="1">
      <c r="A151" s="115">
        <v>8001</v>
      </c>
      <c r="B151" s="116" t="s">
        <v>60</v>
      </c>
      <c r="C151" s="127">
        <f>C152</f>
        <v>30000</v>
      </c>
      <c r="D151" s="104"/>
      <c r="E151" s="134">
        <f t="shared" si="41"/>
        <v>30000</v>
      </c>
      <c r="F151" s="145"/>
      <c r="G151" s="130">
        <f>G152</f>
        <v>0</v>
      </c>
      <c r="H151" s="130">
        <f t="shared" ref="H151:I151" si="46">H152</f>
        <v>0</v>
      </c>
      <c r="I151" s="130">
        <f t="shared" si="46"/>
        <v>0</v>
      </c>
      <c r="J151" s="133">
        <f>SUM(G151:I151)</f>
        <v>0</v>
      </c>
      <c r="L151" s="131">
        <f>E151-J151</f>
        <v>30000</v>
      </c>
      <c r="N151" s="66" t="s">
        <v>103</v>
      </c>
    </row>
    <row r="152" spans="1:14" ht="20.100000000000001" customHeight="1">
      <c r="A152" s="122"/>
      <c r="B152" s="123" t="s">
        <v>61</v>
      </c>
      <c r="C152" s="132">
        <v>30000</v>
      </c>
      <c r="D152" s="104"/>
      <c r="E152" s="83">
        <f t="shared" si="41"/>
        <v>30000</v>
      </c>
      <c r="F152" s="145"/>
      <c r="G152" s="86">
        <v>0</v>
      </c>
      <c r="H152" s="83">
        <v>0</v>
      </c>
      <c r="I152" s="83">
        <v>0</v>
      </c>
      <c r="J152" s="83">
        <f>SUM(G152:I152)</f>
        <v>0</v>
      </c>
      <c r="L152" s="83">
        <f>E152-J152</f>
        <v>30000</v>
      </c>
      <c r="N152" s="65"/>
    </row>
    <row r="153" spans="1:14" ht="20.100000000000001" customHeight="1">
      <c r="A153" s="122"/>
      <c r="B153" s="123"/>
      <c r="C153" s="132"/>
      <c r="D153" s="104"/>
      <c r="E153" s="83"/>
      <c r="F153" s="145"/>
      <c r="G153" s="86"/>
      <c r="H153" s="83"/>
      <c r="I153" s="83"/>
      <c r="J153" s="83"/>
      <c r="L153" s="83"/>
      <c r="N153" s="66"/>
    </row>
    <row r="154" spans="1:14" ht="27" customHeight="1">
      <c r="A154" s="115">
        <v>8002</v>
      </c>
      <c r="B154" s="116" t="s">
        <v>62</v>
      </c>
      <c r="C154" s="127">
        <f>C155</f>
        <v>100000</v>
      </c>
      <c r="D154" s="104"/>
      <c r="E154" s="134">
        <f t="shared" si="41"/>
        <v>100000</v>
      </c>
      <c r="F154" s="145"/>
      <c r="G154" s="130">
        <f>G155</f>
        <v>0</v>
      </c>
      <c r="H154" s="130">
        <f t="shared" ref="H154:I154" si="47">H155</f>
        <v>6703.65</v>
      </c>
      <c r="I154" s="130">
        <f t="shared" si="47"/>
        <v>0</v>
      </c>
      <c r="J154" s="133">
        <f>SUM(G154:I154)</f>
        <v>6703.65</v>
      </c>
      <c r="L154" s="131">
        <f>E154-J154</f>
        <v>93296.35</v>
      </c>
      <c r="N154" s="66" t="s">
        <v>90</v>
      </c>
    </row>
    <row r="155" spans="1:14" ht="20.100000000000001" customHeight="1">
      <c r="A155" s="122"/>
      <c r="B155" s="123" t="s">
        <v>6</v>
      </c>
      <c r="C155" s="132">
        <v>100000</v>
      </c>
      <c r="D155" s="104"/>
      <c r="E155" s="83">
        <f t="shared" si="41"/>
        <v>100000</v>
      </c>
      <c r="F155" s="145"/>
      <c r="G155" s="86">
        <v>0</v>
      </c>
      <c r="H155" s="85">
        <v>6703.65</v>
      </c>
      <c r="I155" s="83">
        <v>0</v>
      </c>
      <c r="J155" s="83">
        <f>SUM(G155:I155)</f>
        <v>6703.65</v>
      </c>
      <c r="L155" s="83">
        <f>E155-J155</f>
        <v>93296.35</v>
      </c>
      <c r="N155" s="66"/>
    </row>
    <row r="156" spans="1:14" ht="20.100000000000001" customHeight="1">
      <c r="A156" s="122"/>
      <c r="B156" s="123"/>
      <c r="C156" s="132"/>
      <c r="D156" s="104"/>
      <c r="E156" s="83"/>
      <c r="F156" s="145"/>
      <c r="G156" s="86"/>
      <c r="H156" s="83"/>
      <c r="I156" s="83"/>
      <c r="J156" s="83"/>
      <c r="L156" s="83"/>
      <c r="N156" s="66"/>
    </row>
    <row r="157" spans="1:14" ht="27.75" customHeight="1">
      <c r="A157" s="115">
        <v>8003</v>
      </c>
      <c r="B157" s="116" t="s">
        <v>63</v>
      </c>
      <c r="C157" s="127">
        <f>C158</f>
        <v>80000</v>
      </c>
      <c r="D157" s="104"/>
      <c r="E157" s="134">
        <f t="shared" si="41"/>
        <v>80000</v>
      </c>
      <c r="F157" s="145"/>
      <c r="G157" s="130">
        <f>G158</f>
        <v>0</v>
      </c>
      <c r="H157" s="130">
        <f t="shared" ref="H157:I157" si="48">H158</f>
        <v>0</v>
      </c>
      <c r="I157" s="130">
        <f t="shared" si="48"/>
        <v>0</v>
      </c>
      <c r="J157" s="133">
        <f>SUM(G157:I157)</f>
        <v>0</v>
      </c>
      <c r="L157" s="131">
        <f>E157-J157</f>
        <v>80000</v>
      </c>
      <c r="N157" s="66" t="s">
        <v>91</v>
      </c>
    </row>
    <row r="158" spans="1:14" ht="20.100000000000001" customHeight="1">
      <c r="A158" s="122"/>
      <c r="B158" s="123" t="s">
        <v>64</v>
      </c>
      <c r="C158" s="132">
        <v>80000</v>
      </c>
      <c r="D158" s="104"/>
      <c r="E158" s="83">
        <f t="shared" si="41"/>
        <v>80000</v>
      </c>
      <c r="F158" s="145"/>
      <c r="G158" s="86">
        <v>0</v>
      </c>
      <c r="H158" s="83">
        <v>0</v>
      </c>
      <c r="I158" s="83">
        <v>0</v>
      </c>
      <c r="J158" s="83">
        <f>SUM(G158:I158)</f>
        <v>0</v>
      </c>
      <c r="L158" s="83">
        <f>E158-J158</f>
        <v>80000</v>
      </c>
      <c r="N158" s="66"/>
    </row>
    <row r="159" spans="1:14" ht="20.100000000000001" customHeight="1">
      <c r="A159" s="122"/>
      <c r="B159" s="123"/>
      <c r="C159" s="132"/>
      <c r="D159" s="104"/>
      <c r="E159" s="83"/>
      <c r="F159" s="145"/>
      <c r="G159" s="86"/>
      <c r="H159" s="83"/>
      <c r="I159" s="83"/>
      <c r="J159" s="83"/>
      <c r="L159" s="83"/>
      <c r="N159" s="66"/>
    </row>
    <row r="160" spans="1:14" ht="20.100000000000001" customHeight="1">
      <c r="A160" s="115">
        <v>8007</v>
      </c>
      <c r="B160" s="116" t="s">
        <v>0</v>
      </c>
      <c r="C160" s="127">
        <f>C161</f>
        <v>0</v>
      </c>
      <c r="D160" s="104"/>
      <c r="E160" s="134">
        <v>0</v>
      </c>
      <c r="F160" s="145"/>
      <c r="G160" s="130">
        <f>G161</f>
        <v>19816</v>
      </c>
      <c r="H160" s="130">
        <f t="shared" ref="H160:I160" si="49">H161</f>
        <v>0</v>
      </c>
      <c r="I160" s="130">
        <f t="shared" si="49"/>
        <v>0</v>
      </c>
      <c r="J160" s="133">
        <f>SUM(G160:I160)</f>
        <v>19816</v>
      </c>
      <c r="L160" s="131">
        <f>E160-J160</f>
        <v>-19816</v>
      </c>
      <c r="N160" s="70" t="s">
        <v>92</v>
      </c>
    </row>
    <row r="161" spans="1:14" ht="20.100000000000001" customHeight="1">
      <c r="A161" s="122"/>
      <c r="B161" s="123" t="s">
        <v>73</v>
      </c>
      <c r="C161" s="132"/>
      <c r="D161" s="104"/>
      <c r="E161" s="85">
        <v>0</v>
      </c>
      <c r="F161" s="145"/>
      <c r="G161" s="85">
        <v>19816</v>
      </c>
      <c r="H161" s="83">
        <v>0</v>
      </c>
      <c r="I161" s="83">
        <v>0</v>
      </c>
      <c r="J161" s="83">
        <f>SUM(G161:I161)</f>
        <v>19816</v>
      </c>
      <c r="L161" s="83">
        <f>E161-J161</f>
        <v>-19816</v>
      </c>
      <c r="N161" s="71"/>
    </row>
    <row r="162" spans="1:14" ht="20.100000000000001" customHeight="1">
      <c r="A162" s="122"/>
      <c r="B162" s="123"/>
      <c r="C162" s="124"/>
      <c r="D162" s="104"/>
      <c r="E162" s="83">
        <f t="shared" si="41"/>
        <v>0</v>
      </c>
      <c r="F162" s="145"/>
      <c r="G162" s="86"/>
      <c r="H162" s="83"/>
      <c r="I162" s="83"/>
      <c r="J162" s="83"/>
      <c r="L162" s="83"/>
      <c r="N162" s="43"/>
    </row>
    <row r="163" spans="1:14" s="6" customFormat="1" ht="20.100000000000001" customHeight="1">
      <c r="A163" s="169"/>
      <c r="B163" s="170" t="s">
        <v>65</v>
      </c>
      <c r="C163" s="164">
        <f>C164+C167+C170</f>
        <v>67582.5</v>
      </c>
      <c r="D163" s="104"/>
      <c r="E163" s="147">
        <f t="shared" si="41"/>
        <v>67582.5</v>
      </c>
      <c r="F163" s="145"/>
      <c r="G163" s="113">
        <f>G164+G167+G170</f>
        <v>85567.67</v>
      </c>
      <c r="H163" s="113">
        <f t="shared" ref="H163:I163" si="50">H164+H167+H170</f>
        <v>0</v>
      </c>
      <c r="I163" s="113">
        <f t="shared" si="50"/>
        <v>0</v>
      </c>
      <c r="J163" s="113">
        <f>SUM(G163:I163)</f>
        <v>85567.67</v>
      </c>
      <c r="K163" s="84"/>
      <c r="L163" s="113">
        <f>E163-J163</f>
        <v>-17985.169999999998</v>
      </c>
      <c r="N163" s="72"/>
    </row>
    <row r="164" spans="1:14" s="6" customFormat="1" ht="20.100000000000001" customHeight="1">
      <c r="A164" s="171">
        <v>2020</v>
      </c>
      <c r="B164" s="116" t="s">
        <v>66</v>
      </c>
      <c r="C164" s="148">
        <f>C165</f>
        <v>58800</v>
      </c>
      <c r="D164" s="172"/>
      <c r="E164" s="134">
        <f t="shared" si="41"/>
        <v>58800</v>
      </c>
      <c r="F164" s="173"/>
      <c r="G164" s="133">
        <f>G165</f>
        <v>0</v>
      </c>
      <c r="H164" s="133">
        <f t="shared" ref="H164:I164" si="51">H165</f>
        <v>0</v>
      </c>
      <c r="I164" s="133">
        <f t="shared" si="51"/>
        <v>0</v>
      </c>
      <c r="J164" s="133">
        <f>SUM(G164:I164)</f>
        <v>0</v>
      </c>
      <c r="K164" s="84"/>
      <c r="L164" s="131">
        <f>E164-J164</f>
        <v>58800</v>
      </c>
      <c r="N164" s="73" t="s">
        <v>104</v>
      </c>
    </row>
    <row r="165" spans="1:14" s="7" customFormat="1" ht="20.100000000000001" customHeight="1">
      <c r="A165" s="157"/>
      <c r="B165" s="153" t="s">
        <v>7</v>
      </c>
      <c r="C165" s="149">
        <v>58800</v>
      </c>
      <c r="D165" s="104"/>
      <c r="E165" s="83">
        <f t="shared" si="41"/>
        <v>58800</v>
      </c>
      <c r="F165" s="174"/>
      <c r="G165" s="86">
        <v>0</v>
      </c>
      <c r="H165" s="83">
        <v>0</v>
      </c>
      <c r="I165" s="83">
        <v>0</v>
      </c>
      <c r="J165" s="83">
        <f>SUM(G165:I165)</f>
        <v>0</v>
      </c>
      <c r="K165" s="84"/>
      <c r="L165" s="83">
        <f>E165-J165</f>
        <v>58800</v>
      </c>
      <c r="N165" s="73"/>
    </row>
    <row r="166" spans="1:14" s="7" customFormat="1" ht="20.100000000000001" customHeight="1">
      <c r="A166" s="175"/>
      <c r="B166" s="176"/>
      <c r="C166" s="152"/>
      <c r="D166" s="104"/>
      <c r="E166" s="83"/>
      <c r="F166" s="174"/>
      <c r="G166" s="86"/>
      <c r="H166" s="83"/>
      <c r="I166" s="83"/>
      <c r="J166" s="83"/>
      <c r="K166" s="84"/>
      <c r="L166" s="83"/>
      <c r="N166" s="73"/>
    </row>
    <row r="167" spans="1:14" s="6" customFormat="1" ht="20.100000000000001" customHeight="1">
      <c r="A167" s="171">
        <v>2050</v>
      </c>
      <c r="B167" s="116" t="s">
        <v>67</v>
      </c>
      <c r="C167" s="148">
        <f>C168</f>
        <v>7582.5</v>
      </c>
      <c r="D167" s="172"/>
      <c r="E167" s="134">
        <f t="shared" si="41"/>
        <v>7582.5</v>
      </c>
      <c r="F167" s="173"/>
      <c r="G167" s="133">
        <f>G168</f>
        <v>85567.67</v>
      </c>
      <c r="H167" s="133">
        <f t="shared" ref="H167:I167" si="52">H168</f>
        <v>0</v>
      </c>
      <c r="I167" s="133">
        <f t="shared" si="52"/>
        <v>0</v>
      </c>
      <c r="J167" s="133">
        <f>SUM(G167:I167)</f>
        <v>85567.67</v>
      </c>
      <c r="K167" s="84"/>
      <c r="L167" s="131">
        <f>E167-G167</f>
        <v>-77985.17</v>
      </c>
      <c r="N167" s="70" t="s">
        <v>93</v>
      </c>
    </row>
    <row r="168" spans="1:14" s="7" customFormat="1" ht="20.100000000000001" customHeight="1">
      <c r="A168" s="157"/>
      <c r="B168" s="153" t="s">
        <v>7</v>
      </c>
      <c r="C168" s="149">
        <v>7582.5</v>
      </c>
      <c r="D168" s="104"/>
      <c r="E168" s="83">
        <f t="shared" si="41"/>
        <v>7582.5</v>
      </c>
      <c r="F168" s="174"/>
      <c r="G168" s="80">
        <f>80037.52+5530.15</f>
        <v>85567.67</v>
      </c>
      <c r="H168" s="83">
        <v>0</v>
      </c>
      <c r="I168" s="83">
        <v>0</v>
      </c>
      <c r="J168" s="83">
        <f>SUM(G168:I168)</f>
        <v>85567.67</v>
      </c>
      <c r="K168" s="84"/>
      <c r="L168" s="83">
        <f>E168-J168</f>
        <v>-77985.17</v>
      </c>
      <c r="N168" s="73"/>
    </row>
    <row r="169" spans="1:14" s="7" customFormat="1" ht="20.100000000000001" customHeight="1">
      <c r="A169" s="138" t="s">
        <v>76</v>
      </c>
      <c r="B169" s="153"/>
      <c r="C169" s="149"/>
      <c r="D169" s="104"/>
      <c r="E169" s="83"/>
      <c r="F169" s="174"/>
      <c r="G169" s="86"/>
      <c r="H169" s="83"/>
      <c r="I169" s="83"/>
      <c r="J169" s="83"/>
      <c r="K169" s="84"/>
      <c r="L169" s="83"/>
      <c r="N169" s="73"/>
    </row>
    <row r="170" spans="1:14" s="6" customFormat="1" ht="28.5" customHeight="1">
      <c r="A170" s="171">
        <v>7952</v>
      </c>
      <c r="B170" s="116" t="s">
        <v>68</v>
      </c>
      <c r="C170" s="148">
        <f>C171</f>
        <v>1200</v>
      </c>
      <c r="D170" s="172"/>
      <c r="E170" s="134">
        <f t="shared" si="41"/>
        <v>1200</v>
      </c>
      <c r="F170" s="173"/>
      <c r="G170" s="133">
        <f>G171</f>
        <v>0</v>
      </c>
      <c r="H170" s="133">
        <f t="shared" ref="H170:I170" si="53">H171</f>
        <v>0</v>
      </c>
      <c r="I170" s="133">
        <f t="shared" si="53"/>
        <v>0</v>
      </c>
      <c r="J170" s="133">
        <f>SUM(G170:I170)</f>
        <v>0</v>
      </c>
      <c r="K170" s="84"/>
      <c r="L170" s="131">
        <f>E170-J170</f>
        <v>1200</v>
      </c>
      <c r="N170" s="73" t="s">
        <v>94</v>
      </c>
    </row>
    <row r="171" spans="1:14" s="7" customFormat="1" ht="20.100000000000001" customHeight="1">
      <c r="A171" s="157"/>
      <c r="B171" s="153" t="s">
        <v>8</v>
      </c>
      <c r="C171" s="149">
        <v>1200</v>
      </c>
      <c r="D171" s="104"/>
      <c r="E171" s="83">
        <f t="shared" si="41"/>
        <v>1200</v>
      </c>
      <c r="F171" s="174"/>
      <c r="G171" s="86">
        <v>0</v>
      </c>
      <c r="H171" s="83">
        <v>0</v>
      </c>
      <c r="I171" s="83">
        <v>0</v>
      </c>
      <c r="J171" s="83">
        <f>SUM(G171:I171)</f>
        <v>0</v>
      </c>
      <c r="K171" s="84"/>
      <c r="L171" s="83">
        <f>E171-J171</f>
        <v>1200</v>
      </c>
      <c r="N171" s="74"/>
    </row>
    <row r="172" spans="1:14" ht="20.100000000000001" customHeight="1">
      <c r="A172" s="101"/>
      <c r="B172" s="102"/>
      <c r="C172" s="103"/>
      <c r="D172" s="104"/>
      <c r="E172" s="83"/>
      <c r="F172" s="84"/>
      <c r="G172" s="86"/>
      <c r="H172" s="83"/>
      <c r="I172" s="83"/>
      <c r="J172" s="83"/>
      <c r="L172" s="83"/>
      <c r="N172" s="43"/>
    </row>
    <row r="173" spans="1:14" ht="20.100000000000001" customHeight="1">
      <c r="A173" s="107"/>
      <c r="B173" s="108" t="s">
        <v>69</v>
      </c>
      <c r="C173" s="125">
        <f>C174</f>
        <v>17675.419999999998</v>
      </c>
      <c r="D173" s="104"/>
      <c r="E173" s="147">
        <f t="shared" ref="E173:E180" si="54">C173-D173</f>
        <v>17675.419999999998</v>
      </c>
      <c r="F173" s="84"/>
      <c r="G173" s="113">
        <f>G174</f>
        <v>42249.8</v>
      </c>
      <c r="H173" s="114">
        <f>H174</f>
        <v>0</v>
      </c>
      <c r="I173" s="114">
        <f>I174</f>
        <v>1602.01</v>
      </c>
      <c r="J173" s="114">
        <f>SUM(G173:I173)</f>
        <v>43851.810000000005</v>
      </c>
      <c r="L173" s="114">
        <f>E173-J173</f>
        <v>-26176.390000000007</v>
      </c>
      <c r="N173" s="69"/>
    </row>
    <row r="174" spans="1:14" ht="20.100000000000001" customHeight="1">
      <c r="A174" s="115">
        <v>6911</v>
      </c>
      <c r="B174" s="126" t="s">
        <v>70</v>
      </c>
      <c r="C174" s="127">
        <f>SUM(C175:C180)</f>
        <v>17675.419999999998</v>
      </c>
      <c r="D174" s="104"/>
      <c r="E174" s="134">
        <f t="shared" si="54"/>
        <v>17675.419999999998</v>
      </c>
      <c r="F174" s="84"/>
      <c r="G174" s="133">
        <f>SUM(G175:G180)</f>
        <v>42249.8</v>
      </c>
      <c r="H174" s="133">
        <f>SUM(H175:H180)</f>
        <v>0</v>
      </c>
      <c r="I174" s="133">
        <f>SUM(I175:I180)</f>
        <v>1602.01</v>
      </c>
      <c r="J174" s="133">
        <f>SUM(G174:I174)</f>
        <v>43851.810000000005</v>
      </c>
      <c r="L174" s="134">
        <f>E174-J174</f>
        <v>-26176.390000000007</v>
      </c>
      <c r="N174" s="66" t="s">
        <v>95</v>
      </c>
    </row>
    <row r="175" spans="1:14" ht="20.100000000000001" customHeight="1">
      <c r="A175" s="122"/>
      <c r="B175" s="123" t="s">
        <v>8</v>
      </c>
      <c r="C175" s="149">
        <v>3000</v>
      </c>
      <c r="D175" s="104"/>
      <c r="E175" s="83">
        <f t="shared" si="54"/>
        <v>3000</v>
      </c>
      <c r="F175" s="84"/>
      <c r="G175" s="80">
        <v>385.5</v>
      </c>
      <c r="H175" s="83">
        <v>0</v>
      </c>
      <c r="I175" s="83">
        <v>0</v>
      </c>
      <c r="J175" s="83">
        <f>SUM(G175:I175)</f>
        <v>385.5</v>
      </c>
      <c r="L175" s="83">
        <f>E175-J175</f>
        <v>2614.5</v>
      </c>
      <c r="N175" s="66"/>
    </row>
    <row r="176" spans="1:14" ht="20.100000000000001" customHeight="1">
      <c r="A176" s="122"/>
      <c r="B176" s="123" t="s">
        <v>9</v>
      </c>
      <c r="C176" s="149">
        <v>0</v>
      </c>
      <c r="D176" s="104"/>
      <c r="E176" s="83">
        <f t="shared" si="54"/>
        <v>0</v>
      </c>
      <c r="F176" s="84"/>
      <c r="G176" s="83">
        <v>0</v>
      </c>
      <c r="H176" s="83">
        <v>0</v>
      </c>
      <c r="I176" s="83">
        <v>0</v>
      </c>
      <c r="J176" s="83">
        <f t="shared" ref="J176:J180" si="55">SUM(G176:I176)</f>
        <v>0</v>
      </c>
      <c r="L176" s="83">
        <f t="shared" ref="L176:L180" si="56">E176-J176</f>
        <v>0</v>
      </c>
      <c r="N176" s="66"/>
    </row>
    <row r="177" spans="1:14" ht="20.100000000000001" customHeight="1">
      <c r="A177" s="122"/>
      <c r="B177" s="123" t="s">
        <v>10</v>
      </c>
      <c r="C177" s="149">
        <v>4500</v>
      </c>
      <c r="D177" s="104"/>
      <c r="E177" s="83">
        <f t="shared" si="54"/>
        <v>4500</v>
      </c>
      <c r="F177" s="84"/>
      <c r="G177" s="81">
        <v>172.34</v>
      </c>
      <c r="H177" s="83">
        <v>0</v>
      </c>
      <c r="I177" s="83">
        <v>219.8</v>
      </c>
      <c r="J177" s="83">
        <f t="shared" si="55"/>
        <v>392.14</v>
      </c>
      <c r="L177" s="83">
        <f t="shared" si="56"/>
        <v>4107.8599999999997</v>
      </c>
      <c r="N177" s="66"/>
    </row>
    <row r="178" spans="1:14" ht="20.100000000000001" customHeight="1">
      <c r="A178" s="122"/>
      <c r="B178" s="123" t="s">
        <v>11</v>
      </c>
      <c r="C178" s="149">
        <v>6000</v>
      </c>
      <c r="D178" s="104"/>
      <c r="E178" s="83">
        <f t="shared" si="54"/>
        <v>6000</v>
      </c>
      <c r="F178" s="84"/>
      <c r="G178" s="80">
        <v>6760</v>
      </c>
      <c r="H178" s="83">
        <v>0</v>
      </c>
      <c r="I178" s="83">
        <v>820</v>
      </c>
      <c r="J178" s="83">
        <f t="shared" si="55"/>
        <v>7580</v>
      </c>
      <c r="L178" s="83">
        <f t="shared" si="56"/>
        <v>-1580</v>
      </c>
      <c r="N178" s="66"/>
    </row>
    <row r="179" spans="1:14" ht="20.100000000000001" customHeight="1">
      <c r="A179" s="122"/>
      <c r="B179" s="123" t="s">
        <v>7</v>
      </c>
      <c r="C179" s="149">
        <v>2975.42</v>
      </c>
      <c r="D179" s="104"/>
      <c r="E179" s="83">
        <f t="shared" si="54"/>
        <v>2975.42</v>
      </c>
      <c r="F179" s="84"/>
      <c r="G179" s="80">
        <v>33579.96</v>
      </c>
      <c r="H179" s="83">
        <v>0</v>
      </c>
      <c r="I179" s="83">
        <v>562.21</v>
      </c>
      <c r="J179" s="83">
        <f t="shared" si="55"/>
        <v>34142.17</v>
      </c>
      <c r="L179" s="83">
        <f t="shared" si="56"/>
        <v>-31166.75</v>
      </c>
      <c r="N179" s="66"/>
    </row>
    <row r="180" spans="1:14" ht="20.100000000000001" customHeight="1">
      <c r="A180" s="122"/>
      <c r="B180" s="123" t="s">
        <v>6</v>
      </c>
      <c r="C180" s="149">
        <v>1200</v>
      </c>
      <c r="D180" s="104"/>
      <c r="E180" s="83">
        <f t="shared" si="54"/>
        <v>1200</v>
      </c>
      <c r="F180" s="84"/>
      <c r="G180" s="86">
        <f>G178*0.2</f>
        <v>1352</v>
      </c>
      <c r="H180" s="83">
        <v>0</v>
      </c>
      <c r="I180" s="83">
        <v>0</v>
      </c>
      <c r="J180" s="83">
        <f t="shared" si="55"/>
        <v>1352</v>
      </c>
      <c r="L180" s="83">
        <f t="shared" si="56"/>
        <v>-152</v>
      </c>
      <c r="N180" s="71"/>
    </row>
    <row r="181" spans="1:14" ht="20.100000000000001" customHeight="1">
      <c r="A181" s="101"/>
      <c r="B181" s="102"/>
      <c r="C181" s="177"/>
      <c r="D181" s="104"/>
      <c r="E181" s="83"/>
      <c r="F181" s="145"/>
      <c r="G181" s="86"/>
      <c r="H181" s="83"/>
      <c r="I181" s="83"/>
      <c r="J181" s="83"/>
      <c r="L181" s="83"/>
      <c r="N181" s="43"/>
    </row>
    <row r="182" spans="1:14" ht="20.100000000000001" customHeight="1">
      <c r="A182" s="107"/>
      <c r="B182" s="108" t="s">
        <v>71</v>
      </c>
      <c r="C182" s="109">
        <f>C183</f>
        <v>124767.7</v>
      </c>
      <c r="D182" s="178"/>
      <c r="E182" s="114">
        <f>E183</f>
        <v>124767.7</v>
      </c>
      <c r="F182" s="179"/>
      <c r="G182" s="113">
        <f>G183</f>
        <v>91243.77</v>
      </c>
      <c r="H182" s="114">
        <f>H183</f>
        <v>0</v>
      </c>
      <c r="I182" s="114">
        <f>I183</f>
        <v>1140.9000000000001</v>
      </c>
      <c r="J182" s="114">
        <f>SUM(G182:I182)</f>
        <v>92384.67</v>
      </c>
      <c r="L182" s="114">
        <f>E182-J182</f>
        <v>32383.03</v>
      </c>
      <c r="N182" s="56" t="s">
        <v>97</v>
      </c>
    </row>
    <row r="183" spans="1:14" ht="20.100000000000001" customHeight="1">
      <c r="A183" s="115">
        <v>5444</v>
      </c>
      <c r="B183" s="126" t="s">
        <v>72</v>
      </c>
      <c r="C183" s="117">
        <f>SUM(C184:C186)</f>
        <v>124767.7</v>
      </c>
      <c r="D183" s="180"/>
      <c r="E183" s="134">
        <v>124767.7</v>
      </c>
      <c r="F183" s="181"/>
      <c r="G183" s="133">
        <f>SUM(G184:G186)</f>
        <v>91243.77</v>
      </c>
      <c r="H183" s="133">
        <f>SUM(H184:H186)</f>
        <v>0</v>
      </c>
      <c r="I183" s="133">
        <f>SUM(I184:I186)</f>
        <v>1140.9000000000001</v>
      </c>
      <c r="J183" s="133">
        <f>SUM(G183:I183)</f>
        <v>92384.67</v>
      </c>
      <c r="L183" s="134">
        <f>E183-J183</f>
        <v>32383.03</v>
      </c>
      <c r="N183" s="57"/>
    </row>
    <row r="184" spans="1:14" ht="20.100000000000001" customHeight="1">
      <c r="A184" s="122"/>
      <c r="B184" s="123" t="s">
        <v>8</v>
      </c>
      <c r="C184" s="124">
        <v>50000</v>
      </c>
      <c r="D184" s="141"/>
      <c r="E184" s="83">
        <v>0</v>
      </c>
      <c r="F184" s="181"/>
      <c r="G184" s="80">
        <v>87043.5</v>
      </c>
      <c r="H184" s="83">
        <v>0</v>
      </c>
      <c r="I184" s="83">
        <v>0</v>
      </c>
      <c r="J184" s="83">
        <f>SUM(G184:I184)</f>
        <v>87043.5</v>
      </c>
      <c r="L184" s="83">
        <f>E184-J184</f>
        <v>-87043.5</v>
      </c>
      <c r="N184" s="66" t="s">
        <v>96</v>
      </c>
    </row>
    <row r="185" spans="1:14" ht="20.100000000000001" customHeight="1">
      <c r="A185" s="122"/>
      <c r="B185" s="123" t="s">
        <v>10</v>
      </c>
      <c r="C185" s="124">
        <v>45000</v>
      </c>
      <c r="D185" s="141"/>
      <c r="E185" s="83">
        <v>0</v>
      </c>
      <c r="F185" s="182"/>
      <c r="G185" s="80">
        <v>4200.2700000000004</v>
      </c>
      <c r="H185" s="83">
        <v>0</v>
      </c>
      <c r="I185" s="83">
        <v>1140.9000000000001</v>
      </c>
      <c r="J185" s="83">
        <f t="shared" ref="J185:J186" si="57">SUM(G185:I185)</f>
        <v>5341.17</v>
      </c>
      <c r="L185" s="83">
        <f t="shared" ref="L185:L186" si="58">E185-J185</f>
        <v>-5341.17</v>
      </c>
      <c r="N185" s="66"/>
    </row>
    <row r="186" spans="1:14" ht="20.100000000000001" customHeight="1">
      <c r="A186" s="122"/>
      <c r="B186" s="123" t="s">
        <v>7</v>
      </c>
      <c r="C186" s="124">
        <v>29767.7</v>
      </c>
      <c r="D186" s="141"/>
      <c r="E186" s="83">
        <v>0</v>
      </c>
      <c r="F186" s="84"/>
      <c r="G186" s="86">
        <v>0</v>
      </c>
      <c r="H186" s="83">
        <v>0</v>
      </c>
      <c r="I186" s="83">
        <v>0</v>
      </c>
      <c r="J186" s="83">
        <f t="shared" si="57"/>
        <v>0</v>
      </c>
      <c r="L186" s="83">
        <f t="shared" si="58"/>
        <v>0</v>
      </c>
      <c r="N186" s="71"/>
    </row>
  </sheetData>
  <sheetProtection password="ECDF" sheet="1" objects="1" scenarios="1"/>
  <mergeCells count="32">
    <mergeCell ref="N182:N183"/>
    <mergeCell ref="D182:D183"/>
    <mergeCell ref="N5:N14"/>
    <mergeCell ref="N16:N25"/>
    <mergeCell ref="N28:N33"/>
    <mergeCell ref="N35:N42"/>
    <mergeCell ref="N45:N55"/>
    <mergeCell ref="N58:N67"/>
    <mergeCell ref="N69:N77"/>
    <mergeCell ref="N79:N83"/>
    <mergeCell ref="N85:N93"/>
    <mergeCell ref="N97:N99"/>
    <mergeCell ref="N101:N102"/>
    <mergeCell ref="N103:N111"/>
    <mergeCell ref="N113:N119"/>
    <mergeCell ref="N121:N125"/>
    <mergeCell ref="N127:N137"/>
    <mergeCell ref="D101:D102"/>
    <mergeCell ref="D45:D46"/>
    <mergeCell ref="D69:D70"/>
    <mergeCell ref="G1:J1"/>
    <mergeCell ref="G2:G3"/>
    <mergeCell ref="D5:D6"/>
    <mergeCell ref="D16:D17"/>
    <mergeCell ref="D35:D36"/>
    <mergeCell ref="A1:E1"/>
    <mergeCell ref="D2:D3"/>
    <mergeCell ref="E2:E3"/>
    <mergeCell ref="H2:H3"/>
    <mergeCell ref="I2:I3"/>
    <mergeCell ref="J2:J3"/>
    <mergeCell ref="L2:L3"/>
  </mergeCells>
  <pageMargins left="0.31496062992125984" right="0.23622047244094491" top="0.59055118110236227" bottom="0.59055118110236227" header="0.19685039370078741" footer="0.15748031496062992"/>
  <pageSetup paperSize="9" scale="92" orientation="landscape" verticalDpi="0" r:id="rId1"/>
  <headerFooter>
    <oddHeader>&amp;R&amp;P/&amp;N</oddHeader>
    <oddFooter>&amp;RAtualizado em 10/05/2016</oddFooter>
  </headerFooter>
  <colBreaks count="1" manualBreakCount="1">
    <brk id="13" max="1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Aplicação do Orçamento 2016</vt:lpstr>
      <vt:lpstr>'Aplicação do Orçamento 2016'!Area_de_impressao</vt:lpstr>
    </vt:vector>
  </TitlesOfParts>
  <Company>UESB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2016-06-10T20:54:42Z</cp:lastPrinted>
  <dcterms:created xsi:type="dcterms:W3CDTF">2016-05-19T12:59:43Z</dcterms:created>
  <dcterms:modified xsi:type="dcterms:W3CDTF">2016-06-10T20:57:00Z</dcterms:modified>
</cp:coreProperties>
</file>